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Policy\2 Evaluation and Research\2 PROJECTS\2021 Federal Policy\2021 Stimulus Analysis\Outreach Efforts\State by State analysis and data\"/>
    </mc:Choice>
  </mc:AlternateContent>
  <xr:revisionPtr revIDLastSave="0" documentId="13_ncr:1_{AA3B1EBD-0121-4255-A550-04C44702479C}" xr6:coauthVersionLast="45" xr6:coauthVersionMax="45" xr10:uidLastSave="{00000000-0000-0000-0000-000000000000}"/>
  <bookViews>
    <workbookView xWindow="-120" yWindow="-120" windowWidth="29040" windowHeight="15840" xr2:uid="{00000000-000D-0000-FFFF-FFFF00000000}"/>
  </bookViews>
  <sheets>
    <sheet name="US &amp; CA Summary" sheetId="16" r:id="rId1"/>
    <sheet name="Marketplace Comparison US &amp; CA" sheetId="19" r:id="rId2"/>
    <sheet name="Marketplace Comparison" sheetId="17" r:id="rId3"/>
    <sheet name="State by State Data" sheetId="9" r:id="rId4"/>
    <sheet name="Potential Marketing Spends" sheetId="6" r:id="rId5"/>
    <sheet name="Notes &amp; Sources" sheetId="7" r:id="rId6"/>
  </sheets>
  <definedNames>
    <definedName name="_xlnm.Print_Area" localSheetId="2">'Marketplace Comparison'!$A$1:$L$28</definedName>
    <definedName name="_xlnm.Print_Area" localSheetId="1">'Marketplace Comparison US &amp; CA'!$A$1:$F$28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17" l="1"/>
  <c r="N14" i="17"/>
  <c r="L15" i="17"/>
  <c r="L14" i="17"/>
  <c r="J15" i="17"/>
  <c r="J14" i="17"/>
  <c r="H15" i="17"/>
  <c r="H14" i="17"/>
  <c r="F15" i="17"/>
  <c r="F14" i="17"/>
  <c r="H11" i="19"/>
  <c r="H12" i="19"/>
  <c r="H13" i="19"/>
  <c r="H16" i="19"/>
  <c r="H19" i="19"/>
  <c r="H18" i="19"/>
  <c r="H17" i="19"/>
  <c r="H15" i="19"/>
  <c r="H14" i="19"/>
  <c r="F14" i="19"/>
  <c r="F15" i="19"/>
  <c r="G18" i="19" l="1"/>
  <c r="G17" i="19"/>
  <c r="G15" i="19"/>
  <c r="G14" i="19"/>
  <c r="G16" i="19" s="1"/>
  <c r="G12" i="19"/>
  <c r="G11" i="19"/>
  <c r="G13" i="19" s="1"/>
  <c r="G26" i="19"/>
  <c r="E26" i="19"/>
  <c r="G25" i="19"/>
  <c r="E25" i="19"/>
  <c r="G24" i="19"/>
  <c r="E24" i="19"/>
  <c r="G21" i="19"/>
  <c r="E21" i="19"/>
  <c r="E18" i="19"/>
  <c r="E17" i="19"/>
  <c r="E15" i="19"/>
  <c r="E14" i="19"/>
  <c r="E16" i="19" s="1"/>
  <c r="E12" i="19"/>
  <c r="E11" i="19"/>
  <c r="E13" i="19" l="1"/>
  <c r="E19" i="19"/>
  <c r="G19" i="19"/>
  <c r="M21" i="17"/>
  <c r="F16" i="19" l="1"/>
  <c r="G20" i="19"/>
  <c r="E20" i="19"/>
  <c r="L40" i="9"/>
  <c r="M17" i="17"/>
  <c r="E17" i="17"/>
  <c r="M11" i="17"/>
  <c r="G22" i="19" l="1"/>
  <c r="H20" i="19"/>
  <c r="E22" i="19"/>
  <c r="F18" i="19"/>
  <c r="F12" i="19"/>
  <c r="F17" i="19"/>
  <c r="F11" i="19"/>
  <c r="F13" i="19" s="1"/>
  <c r="L66" i="9"/>
  <c r="L12" i="9"/>
  <c r="N12" i="9"/>
  <c r="M12" i="9"/>
  <c r="E11" i="17" s="1"/>
  <c r="F19" i="19" l="1"/>
  <c r="F20" i="19"/>
  <c r="E13" i="16"/>
  <c r="E9" i="16"/>
  <c r="E3" i="16"/>
  <c r="D9" i="16"/>
  <c r="D3" i="16"/>
  <c r="U16" i="9" l="1"/>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T15" i="9"/>
  <c r="T14" i="9"/>
  <c r="T13" i="9"/>
  <c r="T12" i="9"/>
  <c r="T7" i="9"/>
  <c r="T8" i="9"/>
  <c r="U12" i="9" l="1"/>
  <c r="S12" i="9" s="1"/>
  <c r="V12" i="9" s="1"/>
  <c r="E25" i="17" s="1"/>
  <c r="U13" i="9"/>
  <c r="S13" i="9" s="1"/>
  <c r="X13" i="9" s="1"/>
  <c r="G26" i="17" s="1"/>
  <c r="X19" i="9"/>
  <c r="U14" i="9"/>
  <c r="S14" i="9" s="1"/>
  <c r="V14" i="9" s="1"/>
  <c r="I25" i="17" s="1"/>
  <c r="V16" i="9"/>
  <c r="U15" i="9"/>
  <c r="S15" i="9" s="1"/>
  <c r="X15" i="9" s="1"/>
  <c r="K26" i="17" s="1"/>
  <c r="V63" i="9"/>
  <c r="W63" i="9" s="1"/>
  <c r="V55" i="9"/>
  <c r="W55" i="9" s="1"/>
  <c r="V43" i="9"/>
  <c r="W43" i="9" s="1"/>
  <c r="V31" i="9"/>
  <c r="W31" i="9" s="1"/>
  <c r="V19" i="9"/>
  <c r="W19" i="9" s="1"/>
  <c r="X58" i="9"/>
  <c r="X50" i="9"/>
  <c r="X38" i="9"/>
  <c r="X26" i="9"/>
  <c r="X18" i="9"/>
  <c r="V62" i="9"/>
  <c r="W62" i="9" s="1"/>
  <c r="V54" i="9"/>
  <c r="W54" i="9" s="1"/>
  <c r="V42" i="9"/>
  <c r="W42" i="9" s="1"/>
  <c r="V30" i="9"/>
  <c r="W30" i="9" s="1"/>
  <c r="V18" i="9"/>
  <c r="W18" i="9" s="1"/>
  <c r="X61" i="9"/>
  <c r="X49" i="9"/>
  <c r="X41" i="9"/>
  <c r="X37" i="9"/>
  <c r="X25" i="9"/>
  <c r="X21" i="9"/>
  <c r="X17" i="9"/>
  <c r="V51" i="9"/>
  <c r="W51" i="9" s="1"/>
  <c r="V39" i="9"/>
  <c r="W39" i="9" s="1"/>
  <c r="V35" i="9"/>
  <c r="W35" i="9" s="1"/>
  <c r="V23" i="9"/>
  <c r="W23" i="9" s="1"/>
  <c r="X62" i="9"/>
  <c r="X54" i="9"/>
  <c r="X42" i="9"/>
  <c r="X30" i="9"/>
  <c r="X22" i="9"/>
  <c r="V58" i="9"/>
  <c r="W58" i="9" s="1"/>
  <c r="V50" i="9"/>
  <c r="W50" i="9" s="1"/>
  <c r="V38" i="9"/>
  <c r="W38" i="9" s="1"/>
  <c r="V26" i="9"/>
  <c r="W26" i="9" s="1"/>
  <c r="X65" i="9"/>
  <c r="X57" i="9"/>
  <c r="X45" i="9"/>
  <c r="X29" i="9"/>
  <c r="V61" i="9"/>
  <c r="V53" i="9"/>
  <c r="W53" i="9" s="1"/>
  <c r="V45" i="9"/>
  <c r="W45" i="9" s="1"/>
  <c r="V37" i="9"/>
  <c r="V29" i="9"/>
  <c r="W29" i="9" s="1"/>
  <c r="V17" i="9"/>
  <c r="W17" i="9" s="1"/>
  <c r="X44" i="9"/>
  <c r="V59" i="9"/>
  <c r="W59" i="9" s="1"/>
  <c r="V47" i="9"/>
  <c r="W47" i="9" s="1"/>
  <c r="V27" i="9"/>
  <c r="W27" i="9" s="1"/>
  <c r="X66" i="9"/>
  <c r="X46" i="9"/>
  <c r="X34" i="9"/>
  <c r="V66" i="9"/>
  <c r="W66" i="9" s="1"/>
  <c r="V46" i="9"/>
  <c r="W46" i="9" s="1"/>
  <c r="V34" i="9"/>
  <c r="W34" i="9" s="1"/>
  <c r="V22" i="9"/>
  <c r="W22" i="9" s="1"/>
  <c r="X53" i="9"/>
  <c r="X33" i="9"/>
  <c r="V65" i="9"/>
  <c r="W65" i="9" s="1"/>
  <c r="V57" i="9"/>
  <c r="W57" i="9" s="1"/>
  <c r="V49" i="9"/>
  <c r="W49" i="9" s="1"/>
  <c r="V41" i="9"/>
  <c r="W41" i="9" s="1"/>
  <c r="V33" i="9"/>
  <c r="W33" i="9" s="1"/>
  <c r="V25" i="9"/>
  <c r="W25" i="9" s="1"/>
  <c r="V21" i="9"/>
  <c r="X64" i="9"/>
  <c r="X60" i="9"/>
  <c r="X56" i="9"/>
  <c r="X52" i="9"/>
  <c r="X48" i="9"/>
  <c r="X40" i="9"/>
  <c r="X36" i="9"/>
  <c r="X32" i="9"/>
  <c r="X28" i="9"/>
  <c r="X24" i="9"/>
  <c r="X20" i="9"/>
  <c r="M26" i="17" s="1"/>
  <c r="X16" i="9"/>
  <c r="V64" i="9"/>
  <c r="W64" i="9" s="1"/>
  <c r="V60" i="9"/>
  <c r="W60" i="9" s="1"/>
  <c r="V56" i="9"/>
  <c r="W56" i="9" s="1"/>
  <c r="V52" i="9"/>
  <c r="W52" i="9" s="1"/>
  <c r="V48" i="9"/>
  <c r="W48" i="9" s="1"/>
  <c r="V44" i="9"/>
  <c r="W44" i="9" s="1"/>
  <c r="V40" i="9"/>
  <c r="W40" i="9" s="1"/>
  <c r="V36" i="9"/>
  <c r="W36" i="9" s="1"/>
  <c r="V32" i="9"/>
  <c r="W32" i="9" s="1"/>
  <c r="V28" i="9"/>
  <c r="W28" i="9" s="1"/>
  <c r="V24" i="9"/>
  <c r="V20" i="9"/>
  <c r="M25" i="17" s="1"/>
  <c r="X63" i="9"/>
  <c r="X59" i="9"/>
  <c r="X55" i="9"/>
  <c r="X51" i="9"/>
  <c r="X47" i="9"/>
  <c r="X43" i="9"/>
  <c r="X39" i="9"/>
  <c r="X35" i="9"/>
  <c r="X31" i="9"/>
  <c r="X27" i="9"/>
  <c r="X23" i="9"/>
  <c r="W16" i="9" l="1"/>
  <c r="W21" i="9"/>
  <c r="W12" i="9"/>
  <c r="E24" i="17" s="1"/>
  <c r="W20" i="9"/>
  <c r="M24" i="17" s="1"/>
  <c r="W14" i="9"/>
  <c r="I24" i="17" s="1"/>
  <c r="Y37" i="9"/>
  <c r="W37" i="9"/>
  <c r="Y24" i="9"/>
  <c r="W24" i="9"/>
  <c r="Y61" i="9"/>
  <c r="W61" i="9"/>
  <c r="V13" i="9"/>
  <c r="G25" i="17" s="1"/>
  <c r="X14" i="9"/>
  <c r="I26" i="17" s="1"/>
  <c r="X12" i="9"/>
  <c r="E26" i="17" s="1"/>
  <c r="V15" i="9"/>
  <c r="K25" i="17" s="1"/>
  <c r="AC14" i="9"/>
  <c r="AB14" i="9"/>
  <c r="I21" i="17" s="1"/>
  <c r="AC13" i="9"/>
  <c r="AB13" i="9"/>
  <c r="G21" i="17" s="1"/>
  <c r="AC12" i="9"/>
  <c r="AB12" i="9"/>
  <c r="D13" i="16" l="1"/>
  <c r="E21" i="17"/>
  <c r="W15" i="9"/>
  <c r="K24" i="17" s="1"/>
  <c r="W13" i="9"/>
  <c r="G24" i="17" s="1"/>
  <c r="N14" i="9"/>
  <c r="M14" i="9"/>
  <c r="I11" i="17" s="1"/>
  <c r="H14" i="9"/>
  <c r="F14" i="9"/>
  <c r="E14" i="9"/>
  <c r="I17" i="17" s="1"/>
  <c r="D13" i="6" l="1"/>
  <c r="D63" i="6" l="1"/>
  <c r="D62" i="6"/>
  <c r="D61" i="6"/>
  <c r="D60" i="6"/>
  <c r="D59" i="6"/>
  <c r="D57" i="6"/>
  <c r="D56" i="6"/>
  <c r="D55" i="6"/>
  <c r="D54" i="6"/>
  <c r="D53" i="6"/>
  <c r="D52" i="6"/>
  <c r="D51" i="6"/>
  <c r="D50" i="6"/>
  <c r="D49" i="6"/>
  <c r="D48" i="6"/>
  <c r="D47" i="6"/>
  <c r="D46" i="6"/>
  <c r="D45" i="6"/>
  <c r="D44" i="6"/>
  <c r="D43" i="6"/>
  <c r="D42" i="6"/>
  <c r="D41" i="6"/>
  <c r="D40" i="6"/>
  <c r="D39" i="6"/>
  <c r="D38" i="6"/>
  <c r="D37" i="6"/>
  <c r="D36" i="6"/>
  <c r="D35" i="6"/>
  <c r="D33" i="6"/>
  <c r="D32" i="6"/>
  <c r="D31" i="6"/>
  <c r="D30" i="6"/>
  <c r="D29" i="6"/>
  <c r="D28" i="6"/>
  <c r="D27" i="6"/>
  <c r="D26" i="6"/>
  <c r="D25" i="6"/>
  <c r="D24" i="6"/>
  <c r="D23" i="6"/>
  <c r="D22" i="6"/>
  <c r="D21" i="6"/>
  <c r="D20" i="6"/>
  <c r="D19" i="6"/>
  <c r="D18" i="6"/>
  <c r="D17" i="6"/>
  <c r="D16" i="6"/>
  <c r="D15" i="6"/>
  <c r="D14" i="6"/>
  <c r="C10" i="6" l="1"/>
  <c r="E17" i="6"/>
  <c r="F17" i="6"/>
  <c r="G17" i="6"/>
  <c r="E18" i="6"/>
  <c r="F18" i="6"/>
  <c r="G18" i="6"/>
  <c r="E19" i="6"/>
  <c r="F19" i="6"/>
  <c r="G19" i="6"/>
  <c r="E20" i="6"/>
  <c r="F20" i="6"/>
  <c r="G20" i="6"/>
  <c r="E21" i="6"/>
  <c r="F21" i="6"/>
  <c r="G21" i="6"/>
  <c r="E22" i="6"/>
  <c r="F22" i="6"/>
  <c r="G22" i="6"/>
  <c r="E23" i="6"/>
  <c r="F23" i="6"/>
  <c r="G23" i="6"/>
  <c r="E24" i="6"/>
  <c r="F24" i="6"/>
  <c r="G24" i="6"/>
  <c r="E25" i="6"/>
  <c r="F25" i="6"/>
  <c r="G25" i="6"/>
  <c r="E26" i="6"/>
  <c r="F26" i="6"/>
  <c r="G26" i="6"/>
  <c r="E27" i="6"/>
  <c r="F27" i="6"/>
  <c r="G27" i="6"/>
  <c r="E28" i="6"/>
  <c r="F28" i="6"/>
  <c r="G28" i="6"/>
  <c r="E29" i="6"/>
  <c r="F29" i="6"/>
  <c r="G29" i="6"/>
  <c r="E30" i="6"/>
  <c r="F30" i="6"/>
  <c r="G30" i="6"/>
  <c r="E31" i="6"/>
  <c r="F31" i="6"/>
  <c r="G31" i="6"/>
  <c r="E32" i="6"/>
  <c r="F32" i="6"/>
  <c r="G32" i="6"/>
  <c r="E33" i="6"/>
  <c r="F33" i="6"/>
  <c r="G33" i="6"/>
  <c r="E35" i="6"/>
  <c r="F35" i="6"/>
  <c r="G35" i="6"/>
  <c r="E36" i="6"/>
  <c r="F36" i="6"/>
  <c r="G36" i="6"/>
  <c r="E37" i="6"/>
  <c r="F37" i="6"/>
  <c r="G37" i="6"/>
  <c r="E38" i="6"/>
  <c r="F38" i="6"/>
  <c r="G38" i="6"/>
  <c r="E39" i="6"/>
  <c r="F39" i="6"/>
  <c r="G39" i="6"/>
  <c r="E40" i="6"/>
  <c r="F40" i="6"/>
  <c r="G40" i="6"/>
  <c r="E41" i="6"/>
  <c r="F41" i="6"/>
  <c r="G41" i="6"/>
  <c r="E42" i="6"/>
  <c r="F42" i="6"/>
  <c r="G42" i="6"/>
  <c r="E43" i="6"/>
  <c r="F43" i="6"/>
  <c r="G43" i="6"/>
  <c r="E44" i="6"/>
  <c r="F44" i="6"/>
  <c r="G44" i="6"/>
  <c r="E45" i="6"/>
  <c r="F45" i="6"/>
  <c r="G45" i="6"/>
  <c r="E46" i="6"/>
  <c r="F46" i="6"/>
  <c r="G46" i="6"/>
  <c r="E47" i="6"/>
  <c r="F47" i="6"/>
  <c r="G47" i="6"/>
  <c r="E48" i="6"/>
  <c r="F48" i="6"/>
  <c r="G48" i="6"/>
  <c r="E49" i="6"/>
  <c r="F49" i="6"/>
  <c r="G49" i="6"/>
  <c r="E50" i="6"/>
  <c r="F50" i="6"/>
  <c r="G50" i="6"/>
  <c r="E51" i="6"/>
  <c r="F51" i="6"/>
  <c r="G51" i="6"/>
  <c r="E52" i="6"/>
  <c r="F52" i="6"/>
  <c r="G52" i="6"/>
  <c r="E53" i="6"/>
  <c r="F53" i="6"/>
  <c r="G53" i="6"/>
  <c r="E54" i="6"/>
  <c r="F54" i="6"/>
  <c r="G54" i="6"/>
  <c r="E55" i="6"/>
  <c r="F55" i="6"/>
  <c r="G55" i="6"/>
  <c r="E56" i="6"/>
  <c r="F56" i="6"/>
  <c r="G56" i="6"/>
  <c r="E57" i="6"/>
  <c r="F57" i="6"/>
  <c r="G57" i="6"/>
  <c r="E59" i="6"/>
  <c r="F59" i="6"/>
  <c r="G59" i="6"/>
  <c r="E60" i="6"/>
  <c r="F60" i="6"/>
  <c r="G60" i="6"/>
  <c r="E61" i="6"/>
  <c r="F61" i="6"/>
  <c r="G61" i="6"/>
  <c r="E62" i="6"/>
  <c r="F62" i="6"/>
  <c r="G62" i="6"/>
  <c r="E63" i="6"/>
  <c r="F63" i="6"/>
  <c r="G63" i="6"/>
  <c r="E15" i="6"/>
  <c r="F15" i="6"/>
  <c r="G15" i="6"/>
  <c r="E16" i="6"/>
  <c r="F16" i="6"/>
  <c r="G16" i="6"/>
  <c r="E14" i="6"/>
  <c r="F14" i="6"/>
  <c r="G14" i="6"/>
  <c r="G13" i="6"/>
  <c r="D12" i="6"/>
  <c r="D10" i="6"/>
  <c r="C12" i="6"/>
  <c r="C11" i="6"/>
  <c r="G20" i="9"/>
  <c r="G16" i="9"/>
  <c r="E10" i="16" l="1"/>
  <c r="E11" i="16" s="1"/>
  <c r="M18" i="17"/>
  <c r="M19" i="17" s="1"/>
  <c r="G12" i="6"/>
  <c r="F12" i="6"/>
  <c r="E12" i="6"/>
  <c r="D11" i="6"/>
  <c r="G10" i="6"/>
  <c r="E13" i="6"/>
  <c r="E10" i="6" s="1"/>
  <c r="F13" i="6"/>
  <c r="F10" i="6" s="1"/>
  <c r="G11" i="6"/>
  <c r="E11" i="6" l="1"/>
  <c r="F11" i="6"/>
  <c r="E13" i="9"/>
  <c r="G17" i="17" s="1"/>
  <c r="F13" i="9"/>
  <c r="H13" i="9"/>
  <c r="M13" i="9"/>
  <c r="G11" i="17" s="1"/>
  <c r="N13" i="9"/>
  <c r="O66" i="9" l="1"/>
  <c r="I66" i="9"/>
  <c r="G66" i="9"/>
  <c r="D66" i="9"/>
  <c r="O65" i="9"/>
  <c r="L65" i="9"/>
  <c r="I65" i="9"/>
  <c r="G65" i="9"/>
  <c r="D65" i="9"/>
  <c r="O64" i="9"/>
  <c r="L64" i="9"/>
  <c r="I64" i="9"/>
  <c r="G64" i="9"/>
  <c r="D64" i="9"/>
  <c r="O63" i="9"/>
  <c r="L63" i="9"/>
  <c r="I63" i="9"/>
  <c r="G63" i="9"/>
  <c r="D63" i="9"/>
  <c r="O62" i="9"/>
  <c r="L62" i="9"/>
  <c r="I62" i="9"/>
  <c r="G62" i="9"/>
  <c r="D62" i="9"/>
  <c r="P61" i="9"/>
  <c r="O61" i="9"/>
  <c r="L61" i="9"/>
  <c r="G61" i="9"/>
  <c r="D61" i="9"/>
  <c r="O60" i="9"/>
  <c r="L60" i="9"/>
  <c r="I60" i="9"/>
  <c r="G60" i="9"/>
  <c r="D60" i="9"/>
  <c r="O59" i="9"/>
  <c r="L59" i="9"/>
  <c r="I59" i="9"/>
  <c r="G59" i="9"/>
  <c r="D59" i="9"/>
  <c r="O58" i="9"/>
  <c r="L58" i="9"/>
  <c r="I58" i="9"/>
  <c r="G58" i="9"/>
  <c r="D58" i="9"/>
  <c r="O57" i="9"/>
  <c r="L57" i="9"/>
  <c r="I57" i="9"/>
  <c r="G57" i="9"/>
  <c r="D57" i="9"/>
  <c r="O56" i="9"/>
  <c r="L56" i="9"/>
  <c r="I56" i="9"/>
  <c r="G56" i="9"/>
  <c r="D56" i="9"/>
  <c r="O55" i="9"/>
  <c r="L55" i="9"/>
  <c r="I55" i="9"/>
  <c r="G55" i="9"/>
  <c r="D55" i="9"/>
  <c r="O54" i="9"/>
  <c r="L54" i="9"/>
  <c r="I54" i="9"/>
  <c r="G54" i="9"/>
  <c r="D54" i="9"/>
  <c r="O53" i="9"/>
  <c r="L53" i="9"/>
  <c r="I53" i="9"/>
  <c r="G53" i="9"/>
  <c r="D53" i="9"/>
  <c r="O52" i="9"/>
  <c r="L52" i="9"/>
  <c r="I52" i="9"/>
  <c r="G52" i="9"/>
  <c r="D52" i="9"/>
  <c r="O51" i="9"/>
  <c r="L51" i="9"/>
  <c r="I51" i="9"/>
  <c r="G51" i="9"/>
  <c r="D51" i="9"/>
  <c r="O50" i="9"/>
  <c r="L50" i="9"/>
  <c r="I50" i="9"/>
  <c r="G50" i="9"/>
  <c r="D50" i="9"/>
  <c r="O49" i="9"/>
  <c r="L49" i="9"/>
  <c r="I49" i="9"/>
  <c r="G49" i="9"/>
  <c r="D49" i="9"/>
  <c r="O48" i="9"/>
  <c r="L48" i="9"/>
  <c r="I48" i="9"/>
  <c r="G48" i="9"/>
  <c r="D48" i="9"/>
  <c r="O47" i="9"/>
  <c r="L47" i="9"/>
  <c r="I47" i="9"/>
  <c r="G47" i="9"/>
  <c r="D47" i="9"/>
  <c r="O46" i="9"/>
  <c r="L46" i="9"/>
  <c r="I46" i="9"/>
  <c r="G46" i="9"/>
  <c r="D46" i="9"/>
  <c r="O45" i="9"/>
  <c r="L45" i="9"/>
  <c r="I45" i="9"/>
  <c r="G45" i="9"/>
  <c r="D45" i="9"/>
  <c r="O44" i="9"/>
  <c r="L44" i="9"/>
  <c r="I44" i="9"/>
  <c r="G44" i="9"/>
  <c r="D44" i="9"/>
  <c r="O43" i="9"/>
  <c r="L43" i="9"/>
  <c r="I43" i="9"/>
  <c r="G43" i="9"/>
  <c r="D43" i="9"/>
  <c r="O42" i="9"/>
  <c r="L42" i="9"/>
  <c r="I42" i="9"/>
  <c r="G42" i="9"/>
  <c r="D42" i="9"/>
  <c r="O41" i="9"/>
  <c r="L41" i="9"/>
  <c r="I41" i="9"/>
  <c r="G41" i="9"/>
  <c r="D41" i="9"/>
  <c r="O40" i="9"/>
  <c r="I40" i="9"/>
  <c r="G40" i="9"/>
  <c r="D40" i="9"/>
  <c r="O39" i="9"/>
  <c r="L39" i="9"/>
  <c r="I39" i="9"/>
  <c r="G39" i="9"/>
  <c r="D39" i="9"/>
  <c r="O38" i="9"/>
  <c r="L38" i="9"/>
  <c r="I38" i="9"/>
  <c r="G38" i="9"/>
  <c r="D38" i="9"/>
  <c r="P37" i="9"/>
  <c r="O37" i="9"/>
  <c r="L37" i="9"/>
  <c r="G37" i="9"/>
  <c r="D37" i="9"/>
  <c r="O36" i="9"/>
  <c r="L36" i="9"/>
  <c r="I36" i="9"/>
  <c r="G36" i="9"/>
  <c r="D36" i="9"/>
  <c r="O35" i="9"/>
  <c r="L35" i="9"/>
  <c r="I35" i="9"/>
  <c r="G35" i="9"/>
  <c r="D35" i="9"/>
  <c r="O34" i="9"/>
  <c r="L34" i="9"/>
  <c r="I34" i="9"/>
  <c r="G34" i="9"/>
  <c r="D34" i="9"/>
  <c r="O33" i="9"/>
  <c r="L33" i="9"/>
  <c r="I33" i="9"/>
  <c r="G33" i="9"/>
  <c r="D33" i="9"/>
  <c r="O32" i="9"/>
  <c r="L32" i="9"/>
  <c r="I32" i="9"/>
  <c r="G32" i="9"/>
  <c r="D32" i="9"/>
  <c r="O31" i="9"/>
  <c r="L31" i="9"/>
  <c r="I31" i="9"/>
  <c r="G31" i="9"/>
  <c r="D31" i="9"/>
  <c r="O30" i="9"/>
  <c r="L30" i="9"/>
  <c r="I30" i="9"/>
  <c r="G30" i="9"/>
  <c r="D30" i="9"/>
  <c r="O29" i="9"/>
  <c r="L29" i="9"/>
  <c r="I29" i="9"/>
  <c r="G29" i="9"/>
  <c r="D29" i="9"/>
  <c r="O28" i="9"/>
  <c r="L28" i="9"/>
  <c r="I28" i="9"/>
  <c r="G28" i="9"/>
  <c r="D28" i="9"/>
  <c r="O27" i="9"/>
  <c r="L27" i="9"/>
  <c r="I27" i="9"/>
  <c r="G27" i="9"/>
  <c r="D27" i="9"/>
  <c r="O26" i="9"/>
  <c r="L26" i="9"/>
  <c r="I26" i="9"/>
  <c r="G26" i="9"/>
  <c r="D26" i="9"/>
  <c r="O25" i="9"/>
  <c r="L25" i="9"/>
  <c r="I25" i="9"/>
  <c r="G25" i="9"/>
  <c r="D25" i="9"/>
  <c r="P24" i="9"/>
  <c r="O24" i="9"/>
  <c r="L24" i="9"/>
  <c r="G24" i="9"/>
  <c r="D24" i="9"/>
  <c r="O23" i="9"/>
  <c r="L23" i="9"/>
  <c r="I23" i="9"/>
  <c r="G23" i="9"/>
  <c r="D23" i="9"/>
  <c r="O22" i="9"/>
  <c r="L22" i="9"/>
  <c r="I22" i="9"/>
  <c r="G22" i="9"/>
  <c r="D22" i="9"/>
  <c r="O21" i="9"/>
  <c r="L21" i="9"/>
  <c r="I21" i="9"/>
  <c r="G21" i="9"/>
  <c r="D21" i="9"/>
  <c r="O20" i="9"/>
  <c r="M12" i="17" s="1"/>
  <c r="L20" i="9"/>
  <c r="I20" i="9"/>
  <c r="D20" i="9"/>
  <c r="O19" i="9"/>
  <c r="L19" i="9"/>
  <c r="I19" i="9"/>
  <c r="G19" i="9"/>
  <c r="D19" i="9"/>
  <c r="O18" i="9"/>
  <c r="L18" i="9"/>
  <c r="I18" i="9"/>
  <c r="Y18" i="9" s="1"/>
  <c r="G18" i="9"/>
  <c r="D18" i="9"/>
  <c r="O17" i="9"/>
  <c r="L17" i="9"/>
  <c r="I17" i="9"/>
  <c r="G17" i="9"/>
  <c r="D17" i="9"/>
  <c r="O16" i="9"/>
  <c r="L16" i="9"/>
  <c r="I16" i="9"/>
  <c r="Y16" i="9" s="1"/>
  <c r="D16" i="9"/>
  <c r="O12" i="9"/>
  <c r="E12" i="17" s="1"/>
  <c r="H12" i="9"/>
  <c r="I12" i="9" s="1"/>
  <c r="G12" i="9"/>
  <c r="D12" i="9"/>
  <c r="E14" i="17" l="1"/>
  <c r="D6" i="16"/>
  <c r="E13" i="17"/>
  <c r="M13" i="17"/>
  <c r="M15" i="17"/>
  <c r="E6" i="16"/>
  <c r="E18" i="17"/>
  <c r="E19" i="17" s="1"/>
  <c r="D10" i="16"/>
  <c r="D11" i="16" s="1"/>
  <c r="D4" i="16"/>
  <c r="E4" i="16"/>
  <c r="E5" i="16" s="1"/>
  <c r="Z37" i="9"/>
  <c r="AA37" i="9" s="1"/>
  <c r="Z61" i="9"/>
  <c r="AA61" i="9" s="1"/>
  <c r="Z24" i="9"/>
  <c r="AA24" i="9" s="1"/>
  <c r="J12" i="9"/>
  <c r="K12" i="9" s="1"/>
  <c r="Y20" i="9"/>
  <c r="J29" i="9"/>
  <c r="K29" i="9" s="1"/>
  <c r="Q29" i="9" s="1"/>
  <c r="Y29" i="9"/>
  <c r="J49" i="9"/>
  <c r="P49" i="9" s="1"/>
  <c r="Y49" i="9"/>
  <c r="J57" i="9"/>
  <c r="P57" i="9" s="1"/>
  <c r="Y57" i="9"/>
  <c r="J17" i="9"/>
  <c r="K17" i="9" s="1"/>
  <c r="Z17" i="9" s="1"/>
  <c r="Y17" i="9"/>
  <c r="J22" i="9"/>
  <c r="K22" i="9" s="1"/>
  <c r="Q22" i="9" s="1"/>
  <c r="Y22" i="9"/>
  <c r="J42" i="9"/>
  <c r="P42" i="9" s="1"/>
  <c r="Y42" i="9"/>
  <c r="J46" i="9"/>
  <c r="P46" i="9" s="1"/>
  <c r="Y46" i="9"/>
  <c r="J50" i="9"/>
  <c r="P50" i="9" s="1"/>
  <c r="Y50" i="9"/>
  <c r="J21" i="9"/>
  <c r="K21" i="9" s="1"/>
  <c r="Q21" i="9" s="1"/>
  <c r="Y21" i="9"/>
  <c r="J25" i="9"/>
  <c r="K25" i="9" s="1"/>
  <c r="Q25" i="9" s="1"/>
  <c r="Y25" i="9"/>
  <c r="J33" i="9"/>
  <c r="K33" i="9" s="1"/>
  <c r="Q33" i="9" s="1"/>
  <c r="Y33" i="9"/>
  <c r="J41" i="9"/>
  <c r="P41" i="9" s="1"/>
  <c r="Y41" i="9"/>
  <c r="J45" i="9"/>
  <c r="P45" i="9" s="1"/>
  <c r="Y45" i="9"/>
  <c r="J38" i="9"/>
  <c r="P38" i="9" s="1"/>
  <c r="Y38" i="9"/>
  <c r="J54" i="9"/>
  <c r="P54" i="9" s="1"/>
  <c r="Y54" i="9"/>
  <c r="J55" i="9"/>
  <c r="P55" i="9" s="1"/>
  <c r="Y55" i="9"/>
  <c r="J59" i="9"/>
  <c r="P59" i="9" s="1"/>
  <c r="Y59" i="9"/>
  <c r="J63" i="9"/>
  <c r="P63" i="9" s="1"/>
  <c r="Y63" i="9"/>
  <c r="J53" i="9"/>
  <c r="P53" i="9" s="1"/>
  <c r="Y53" i="9"/>
  <c r="J65" i="9"/>
  <c r="P65" i="9" s="1"/>
  <c r="Y65" i="9"/>
  <c r="J26" i="9"/>
  <c r="K26" i="9" s="1"/>
  <c r="Q26" i="9" s="1"/>
  <c r="Y26" i="9"/>
  <c r="J30" i="9"/>
  <c r="K30" i="9" s="1"/>
  <c r="Q30" i="9" s="1"/>
  <c r="Y30" i="9"/>
  <c r="J34" i="9"/>
  <c r="K34" i="9" s="1"/>
  <c r="Q34" i="9" s="1"/>
  <c r="Y34" i="9"/>
  <c r="J58" i="9"/>
  <c r="P58" i="9" s="1"/>
  <c r="Y58" i="9"/>
  <c r="J62" i="9"/>
  <c r="P62" i="9" s="1"/>
  <c r="Y62" i="9"/>
  <c r="J66" i="9"/>
  <c r="P66" i="9" s="1"/>
  <c r="Y66" i="9"/>
  <c r="Z21" i="9"/>
  <c r="J23" i="9"/>
  <c r="K23" i="9" s="1"/>
  <c r="Z23" i="9" s="1"/>
  <c r="Y23" i="9"/>
  <c r="J27" i="9"/>
  <c r="K27" i="9" s="1"/>
  <c r="Q27" i="9" s="1"/>
  <c r="Y27" i="9"/>
  <c r="J31" i="9"/>
  <c r="P31" i="9" s="1"/>
  <c r="Y31" i="9"/>
  <c r="J35" i="9"/>
  <c r="K35" i="9" s="1"/>
  <c r="Q35" i="9" s="1"/>
  <c r="Y35" i="9"/>
  <c r="J39" i="9"/>
  <c r="P39" i="9" s="1"/>
  <c r="Y39" i="9"/>
  <c r="J43" i="9"/>
  <c r="P43" i="9" s="1"/>
  <c r="Y43" i="9"/>
  <c r="J47" i="9"/>
  <c r="P47" i="9" s="1"/>
  <c r="Y47" i="9"/>
  <c r="J51" i="9"/>
  <c r="P51" i="9" s="1"/>
  <c r="Y51" i="9"/>
  <c r="J19" i="9"/>
  <c r="K19" i="9" s="1"/>
  <c r="Z19" i="9" s="1"/>
  <c r="Y19" i="9"/>
  <c r="J28" i="9"/>
  <c r="K28" i="9" s="1"/>
  <c r="Q28" i="9" s="1"/>
  <c r="Y28" i="9"/>
  <c r="J32" i="9"/>
  <c r="P32" i="9" s="1"/>
  <c r="Y32" i="9"/>
  <c r="J36" i="9"/>
  <c r="P36" i="9" s="1"/>
  <c r="Y36" i="9"/>
  <c r="J40" i="9"/>
  <c r="P40" i="9" s="1"/>
  <c r="Y40" i="9"/>
  <c r="J44" i="9"/>
  <c r="P44" i="9" s="1"/>
  <c r="Y44" i="9"/>
  <c r="J48" i="9"/>
  <c r="P48" i="9" s="1"/>
  <c r="Y48" i="9"/>
  <c r="J52" i="9"/>
  <c r="P52" i="9" s="1"/>
  <c r="Y52" i="9"/>
  <c r="J56" i="9"/>
  <c r="P56" i="9" s="1"/>
  <c r="Y56" i="9"/>
  <c r="J60" i="9"/>
  <c r="P60" i="9" s="1"/>
  <c r="Y60" i="9"/>
  <c r="J64" i="9"/>
  <c r="P64" i="9" s="1"/>
  <c r="Y64" i="9"/>
  <c r="G14" i="9"/>
  <c r="I18" i="17" s="1"/>
  <c r="I19" i="17" s="1"/>
  <c r="J18" i="9"/>
  <c r="P18" i="9" s="1"/>
  <c r="I14" i="9"/>
  <c r="I14" i="17" s="1"/>
  <c r="L14" i="9"/>
  <c r="D14" i="9"/>
  <c r="O14" i="9"/>
  <c r="I12" i="17" s="1"/>
  <c r="R24" i="9"/>
  <c r="Q61" i="9"/>
  <c r="D13" i="9"/>
  <c r="I13" i="9"/>
  <c r="G14" i="17" s="1"/>
  <c r="L13" i="9"/>
  <c r="O13" i="9"/>
  <c r="G12" i="17" s="1"/>
  <c r="G13" i="9"/>
  <c r="G18" i="17" s="1"/>
  <c r="R61" i="9"/>
  <c r="J16" i="9"/>
  <c r="J20" i="9"/>
  <c r="P20" i="9" s="1"/>
  <c r="R21" i="9"/>
  <c r="Q37" i="9"/>
  <c r="R37" i="9"/>
  <c r="P26" i="9"/>
  <c r="Q24" i="9"/>
  <c r="K49" i="9"/>
  <c r="Q49" i="9" s="1"/>
  <c r="I13" i="17" l="1"/>
  <c r="D5" i="16"/>
  <c r="G19" i="17"/>
  <c r="K31" i="9"/>
  <c r="Q31" i="9" s="1"/>
  <c r="G13" i="17"/>
  <c r="E15" i="17"/>
  <c r="D7" i="16"/>
  <c r="D8" i="16" s="1"/>
  <c r="R12" i="9"/>
  <c r="F16" i="17"/>
  <c r="E16" i="17"/>
  <c r="E20" i="17" s="1"/>
  <c r="P22" i="9"/>
  <c r="P29" i="9"/>
  <c r="K46" i="9"/>
  <c r="R46" i="9" s="1"/>
  <c r="K45" i="9"/>
  <c r="R45" i="9" s="1"/>
  <c r="Q12" i="9"/>
  <c r="P33" i="9"/>
  <c r="R22" i="9"/>
  <c r="K54" i="9"/>
  <c r="Q54" i="9" s="1"/>
  <c r="K57" i="9"/>
  <c r="R57" i="9" s="1"/>
  <c r="P21" i="9"/>
  <c r="P34" i="9"/>
  <c r="K62" i="9"/>
  <c r="Q62" i="9" s="1"/>
  <c r="Z22" i="9"/>
  <c r="AA22" i="9" s="1"/>
  <c r="K53" i="9"/>
  <c r="R53" i="9" s="1"/>
  <c r="K59" i="9"/>
  <c r="Q59" i="9" s="1"/>
  <c r="P12" i="9"/>
  <c r="P28" i="9"/>
  <c r="K58" i="9"/>
  <c r="R58" i="9" s="1"/>
  <c r="K32" i="9"/>
  <c r="Q32" i="9" s="1"/>
  <c r="K50" i="9"/>
  <c r="R50" i="9" s="1"/>
  <c r="K41" i="9"/>
  <c r="R41" i="9" s="1"/>
  <c r="P19" i="9"/>
  <c r="P30" i="9"/>
  <c r="K66" i="9"/>
  <c r="Q66" i="9" s="1"/>
  <c r="R23" i="9"/>
  <c r="K56" i="9"/>
  <c r="R56" i="9" s="1"/>
  <c r="K39" i="9"/>
  <c r="Q39" i="9" s="1"/>
  <c r="K65" i="9"/>
  <c r="Q65" i="9" s="1"/>
  <c r="P27" i="9"/>
  <c r="K43" i="9"/>
  <c r="Q43" i="9" s="1"/>
  <c r="P35" i="9"/>
  <c r="K48" i="9"/>
  <c r="Q48" i="9" s="1"/>
  <c r="K40" i="9"/>
  <c r="Q40" i="9" s="1"/>
  <c r="K55" i="9"/>
  <c r="Q55" i="9" s="1"/>
  <c r="P17" i="9"/>
  <c r="Q19" i="9"/>
  <c r="P25" i="9"/>
  <c r="K42" i="9"/>
  <c r="R42" i="9" s="1"/>
  <c r="R17" i="9"/>
  <c r="K64" i="9"/>
  <c r="Q64" i="9" s="1"/>
  <c r="Q17" i="9"/>
  <c r="AA23" i="9"/>
  <c r="K51" i="9"/>
  <c r="Q51" i="9" s="1"/>
  <c r="R19" i="9"/>
  <c r="K63" i="9"/>
  <c r="Q63" i="9" s="1"/>
  <c r="K38" i="9"/>
  <c r="Q38" i="9" s="1"/>
  <c r="P23" i="9"/>
  <c r="K36" i="9"/>
  <c r="R36" i="9" s="1"/>
  <c r="K44" i="9"/>
  <c r="R44" i="9" s="1"/>
  <c r="K60" i="9"/>
  <c r="Q60" i="9" s="1"/>
  <c r="K47" i="9"/>
  <c r="Q47" i="9" s="1"/>
  <c r="K52" i="9"/>
  <c r="R52" i="9" s="1"/>
  <c r="Q23" i="9"/>
  <c r="AA19" i="9"/>
  <c r="AA17" i="9"/>
  <c r="AA21" i="9"/>
  <c r="Y12" i="9"/>
  <c r="Y13" i="9"/>
  <c r="Y15" i="9"/>
  <c r="Y14" i="9"/>
  <c r="Z58" i="9"/>
  <c r="AA58" i="9" s="1"/>
  <c r="Z26" i="9"/>
  <c r="AA26" i="9" s="1"/>
  <c r="Z49" i="9"/>
  <c r="AA49" i="9" s="1"/>
  <c r="Z60" i="9"/>
  <c r="AA60" i="9" s="1"/>
  <c r="Z28" i="9"/>
  <c r="AA28" i="9" s="1"/>
  <c r="Z46" i="9"/>
  <c r="AA46" i="9" s="1"/>
  <c r="Z30" i="9"/>
  <c r="AA30" i="9" s="1"/>
  <c r="Z34" i="9"/>
  <c r="AA34" i="9" s="1"/>
  <c r="Z29" i="9"/>
  <c r="AA29" i="9" s="1"/>
  <c r="Z53" i="9"/>
  <c r="AA53" i="9" s="1"/>
  <c r="Z31" i="9"/>
  <c r="AA31" i="9" s="1"/>
  <c r="Z27" i="9"/>
  <c r="AA27" i="9" s="1"/>
  <c r="Z33" i="9"/>
  <c r="AA33" i="9" s="1"/>
  <c r="Z25" i="9"/>
  <c r="AA25" i="9" s="1"/>
  <c r="Z39" i="9"/>
  <c r="AA39" i="9" s="1"/>
  <c r="Z35" i="9"/>
  <c r="AA35" i="9" s="1"/>
  <c r="P14" i="9"/>
  <c r="Q46" i="9"/>
  <c r="K18" i="9"/>
  <c r="Z18" i="9" s="1"/>
  <c r="AA18" i="9" s="1"/>
  <c r="J14" i="9"/>
  <c r="Q58" i="9"/>
  <c r="R34" i="9"/>
  <c r="R33" i="9"/>
  <c r="Q57" i="9"/>
  <c r="R54" i="9"/>
  <c r="K20" i="9"/>
  <c r="K16" i="9"/>
  <c r="Z16" i="9" s="1"/>
  <c r="AA16" i="9" s="1"/>
  <c r="J13" i="9"/>
  <c r="R51" i="9"/>
  <c r="R30" i="9"/>
  <c r="P16" i="9"/>
  <c r="R27" i="9"/>
  <c r="R26" i="9"/>
  <c r="R28" i="9"/>
  <c r="R49" i="9"/>
  <c r="R25" i="9"/>
  <c r="Q53" i="9"/>
  <c r="Q45" i="9"/>
  <c r="R35" i="9"/>
  <c r="R31" i="9"/>
  <c r="R29" i="9"/>
  <c r="D12" i="16" l="1"/>
  <c r="D14" i="16" s="1"/>
  <c r="F18" i="17"/>
  <c r="F11" i="17"/>
  <c r="F13" i="17" s="1"/>
  <c r="E22" i="17"/>
  <c r="F17" i="17"/>
  <c r="F12" i="17"/>
  <c r="M14" i="17"/>
  <c r="E7" i="16"/>
  <c r="E8" i="16" s="1"/>
  <c r="E12" i="16" s="1"/>
  <c r="E14" i="16" s="1"/>
  <c r="Z57" i="9"/>
  <c r="AA57" i="9" s="1"/>
  <c r="R59" i="9"/>
  <c r="Z32" i="9"/>
  <c r="AA32" i="9" s="1"/>
  <c r="Z45" i="9"/>
  <c r="AA45" i="9" s="1"/>
  <c r="Z43" i="9"/>
  <c r="AA43" i="9" s="1"/>
  <c r="R65" i="9"/>
  <c r="R32" i="9"/>
  <c r="Q50" i="9"/>
  <c r="R64" i="9"/>
  <c r="Z48" i="9"/>
  <c r="AA48" i="9" s="1"/>
  <c r="Z50" i="9"/>
  <c r="AA50" i="9" s="1"/>
  <c r="Z62" i="9"/>
  <c r="AA62" i="9" s="1"/>
  <c r="Z59" i="9"/>
  <c r="AA59" i="9" s="1"/>
  <c r="R66" i="9"/>
  <c r="R43" i="9"/>
  <c r="R48" i="9"/>
  <c r="R62" i="9"/>
  <c r="R39" i="9"/>
  <c r="R60" i="9"/>
  <c r="Z54" i="9"/>
  <c r="AA54" i="9" s="1"/>
  <c r="Z65" i="9"/>
  <c r="AA65" i="9" s="1"/>
  <c r="Z66" i="9"/>
  <c r="AA66" i="9" s="1"/>
  <c r="Z64" i="9"/>
  <c r="AA64" i="9" s="1"/>
  <c r="Z41" i="9"/>
  <c r="AA41" i="9" s="1"/>
  <c r="Q41" i="9"/>
  <c r="Z56" i="9"/>
  <c r="AA56" i="9" s="1"/>
  <c r="Q56" i="9"/>
  <c r="Z47" i="9"/>
  <c r="AA47" i="9" s="1"/>
  <c r="R40" i="9"/>
  <c r="R47" i="9"/>
  <c r="Z36" i="9"/>
  <c r="AA36" i="9" s="1"/>
  <c r="R63" i="9"/>
  <c r="Z40" i="9"/>
  <c r="AA40" i="9" s="1"/>
  <c r="Z38" i="9"/>
  <c r="AA38" i="9" s="1"/>
  <c r="Q52" i="9"/>
  <c r="Z63" i="9"/>
  <c r="AA63" i="9" s="1"/>
  <c r="R38" i="9"/>
  <c r="Z51" i="9"/>
  <c r="AA51" i="9" s="1"/>
  <c r="Z42" i="9"/>
  <c r="AA42" i="9" s="1"/>
  <c r="Q42" i="9"/>
  <c r="P13" i="9"/>
  <c r="R55" i="9"/>
  <c r="Z55" i="9"/>
  <c r="AA55" i="9" s="1"/>
  <c r="Z20" i="9"/>
  <c r="AA20" i="9" s="1"/>
  <c r="Q36" i="9"/>
  <c r="Q44" i="9"/>
  <c r="Z44" i="9"/>
  <c r="AA44" i="9" s="1"/>
  <c r="Z52" i="9"/>
  <c r="AA52" i="9" s="1"/>
  <c r="K14" i="9"/>
  <c r="I15" i="17" s="1"/>
  <c r="Q18" i="9"/>
  <c r="R18" i="9"/>
  <c r="Q20" i="9"/>
  <c r="R20" i="9"/>
  <c r="K13" i="9"/>
  <c r="G15" i="17" s="1"/>
  <c r="Q16" i="9"/>
  <c r="R16" i="9"/>
  <c r="J16" i="17" l="1"/>
  <c r="I16" i="17"/>
  <c r="I20" i="17" s="1"/>
  <c r="F19" i="17"/>
  <c r="F20" i="17" s="1"/>
  <c r="H16" i="17"/>
  <c r="G16" i="17"/>
  <c r="G20" i="17" s="1"/>
  <c r="M16" i="17"/>
  <c r="M20" i="17" s="1"/>
  <c r="Q13" i="9"/>
  <c r="R14" i="9"/>
  <c r="Z15" i="9"/>
  <c r="AA15" i="9" s="1"/>
  <c r="Q14" i="9"/>
  <c r="Z13" i="9"/>
  <c r="AA13" i="9" s="1"/>
  <c r="Z14" i="9"/>
  <c r="AA14" i="9" s="1"/>
  <c r="Z12" i="9"/>
  <c r="AA12" i="9" s="1"/>
  <c r="R13" i="9"/>
  <c r="N18" i="17" l="1"/>
  <c r="M22" i="17"/>
  <c r="N20" i="17"/>
  <c r="N17" i="17"/>
  <c r="N19" i="17" s="1"/>
  <c r="N11" i="17"/>
  <c r="N12" i="17"/>
  <c r="N16" i="17"/>
  <c r="G22" i="17"/>
  <c r="H17" i="17"/>
  <c r="H11" i="17"/>
  <c r="H18" i="17"/>
  <c r="H12" i="17"/>
  <c r="J18" i="17"/>
  <c r="I22" i="17"/>
  <c r="J11" i="17"/>
  <c r="J13" i="17" s="1"/>
  <c r="J17" i="17"/>
  <c r="J12" i="17"/>
  <c r="AB15" i="9"/>
  <c r="K21" i="17" s="1"/>
  <c r="N15" i="9"/>
  <c r="I15" i="9"/>
  <c r="K14" i="17" s="1"/>
  <c r="P15" i="9"/>
  <c r="AC15" i="9"/>
  <c r="M15" i="9"/>
  <c r="K11" i="17" s="1"/>
  <c r="O15" i="9"/>
  <c r="K12" i="17" s="1"/>
  <c r="J15" i="9"/>
  <c r="F15" i="9"/>
  <c r="E15" i="9"/>
  <c r="K17" i="17" s="1"/>
  <c r="G15" i="9"/>
  <c r="K18" i="17" s="1"/>
  <c r="K15" i="9"/>
  <c r="K15" i="17" s="1"/>
  <c r="H15" i="9"/>
  <c r="L15" i="9"/>
  <c r="D15" i="9"/>
  <c r="Q15" i="9"/>
  <c r="H17" i="6"/>
  <c r="H20" i="6"/>
  <c r="H26" i="6"/>
  <c r="H30" i="6"/>
  <c r="H14" i="6"/>
  <c r="H45" i="6"/>
  <c r="H57" i="6"/>
  <c r="H16" i="6"/>
  <c r="H42" i="6"/>
  <c r="H21" i="6"/>
  <c r="H35" i="6"/>
  <c r="H48" i="6"/>
  <c r="H55" i="6"/>
  <c r="H31" i="6"/>
  <c r="H27" i="6"/>
  <c r="H39" i="6"/>
  <c r="H24" i="6"/>
  <c r="H33" i="6"/>
  <c r="H41" i="6"/>
  <c r="H49" i="6"/>
  <c r="H32" i="6"/>
  <c r="H37" i="6"/>
  <c r="H51" i="6"/>
  <c r="H53" i="6"/>
  <c r="H46" i="6"/>
  <c r="H28" i="6"/>
  <c r="H60" i="6"/>
  <c r="H54" i="6"/>
  <c r="H36" i="6"/>
  <c r="H18" i="6"/>
  <c r="H58" i="6"/>
  <c r="H61" i="6"/>
  <c r="H22" i="6"/>
  <c r="H59" i="6"/>
  <c r="H19" i="6"/>
  <c r="H29" i="6"/>
  <c r="H52" i="6"/>
  <c r="H44" i="6"/>
  <c r="H63" i="6"/>
  <c r="H50" i="6"/>
  <c r="H43" i="6"/>
  <c r="H23" i="6"/>
  <c r="H47" i="6"/>
  <c r="H25" i="6"/>
  <c r="H38" i="6"/>
  <c r="H56" i="6"/>
  <c r="H34" i="6"/>
  <c r="H15" i="6"/>
  <c r="H62" i="6"/>
  <c r="H40" i="6"/>
  <c r="R15" i="9"/>
  <c r="H13" i="6"/>
  <c r="K16" i="17" l="1"/>
  <c r="H19" i="17"/>
  <c r="K19" i="17"/>
  <c r="K13" i="17"/>
  <c r="J19" i="17"/>
  <c r="J20" i="17" s="1"/>
  <c r="H13" i="17"/>
  <c r="H20" i="17" s="1"/>
  <c r="N13" i="17"/>
  <c r="H12" i="6"/>
  <c r="H10" i="6"/>
  <c r="H11" i="6"/>
  <c r="L16" i="17" l="1"/>
  <c r="K20" i="17"/>
  <c r="K22" i="17" l="1"/>
  <c r="L17" i="17"/>
  <c r="L18" i="17"/>
  <c r="L12" i="17"/>
  <c r="L13" i="17" s="1"/>
  <c r="L11" i="17"/>
  <c r="L20" i="17" l="1"/>
  <c r="L19" i="17"/>
</calcChain>
</file>

<file path=xl/sharedStrings.xml><?xml version="1.0" encoding="utf-8"?>
<sst xmlns="http://schemas.openxmlformats.org/spreadsheetml/2006/main" count="486" uniqueCount="269">
  <si>
    <t>Alabama</t>
  </si>
  <si>
    <t>Alaska</t>
  </si>
  <si>
    <t>Arizona</t>
  </si>
  <si>
    <t>Arkansas</t>
  </si>
  <si>
    <t>Colorado</t>
  </si>
  <si>
    <t>Connecticut</t>
  </si>
  <si>
    <t>Delaware</t>
  </si>
  <si>
    <t>Florida</t>
  </si>
  <si>
    <t>Georgia</t>
  </si>
  <si>
    <t>Hawaii</t>
  </si>
  <si>
    <t>Idaho</t>
  </si>
  <si>
    <t>Indiana</t>
  </si>
  <si>
    <t>Iowa</t>
  </si>
  <si>
    <t>Kansas</t>
  </si>
  <si>
    <t>Kentucky</t>
  </si>
  <si>
    <t>Louisiana</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</si>
  <si>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</si>
  <si>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</si>
  <si>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</si>
  <si>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</si>
  <si>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</si>
  <si>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</si>
  <si>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</si>
  <si>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</si>
  <si>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</si>
  <si>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</si>
  <si>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</si>
  <si>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</si>
  <si>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</si>
  <si>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</si>
  <si>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</si>
  <si>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</si>
  <si>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Pennsylvania</t>
  </si>
  <si>
    <t>Rhode Island</t>
  </si>
  <si>
    <t>South Carolina</t>
  </si>
  <si>
    <t>South Dakota</t>
  </si>
  <si>
    <t>Tennessee</t>
  </si>
  <si>
    <t>Texas</t>
  </si>
  <si>
    <t>Utah</t>
  </si>
  <si>
    <t>Vermont</t>
  </si>
  <si>
    <t>Virginia</t>
  </si>
  <si>
    <t>West Virginia</t>
  </si>
  <si>
    <t>Wisconsin</t>
  </si>
  <si>
    <t>Wyoming</t>
  </si>
  <si>
    <t>State</t>
  </si>
  <si>
    <t>US Total</t>
  </si>
  <si>
    <t>California*</t>
  </si>
  <si>
    <t>D.C.</t>
  </si>
  <si>
    <t>Illinois*</t>
  </si>
  <si>
    <t>Maine*</t>
  </si>
  <si>
    <t>New York*</t>
  </si>
  <si>
    <t>Oregon*</t>
  </si>
  <si>
    <t>Washington*</t>
  </si>
  <si>
    <t>FFE</t>
  </si>
  <si>
    <t>SBE-FP</t>
  </si>
  <si>
    <t>SBE</t>
  </si>
  <si>
    <t>Marketplace</t>
  </si>
  <si>
    <t>(1)</t>
  </si>
  <si>
    <t xml:space="preserve">(2) </t>
  </si>
  <si>
    <t xml:space="preserve">(3) </t>
  </si>
  <si>
    <t>(4)</t>
  </si>
  <si>
    <t xml:space="preserve">(5) </t>
  </si>
  <si>
    <t xml:space="preserve">(6) </t>
  </si>
  <si>
    <t xml:space="preserve"> Marketplace Effectuated Enrollment, below 400% FPL </t>
  </si>
  <si>
    <t xml:space="preserve"> Marketplace Effectuated Enrollment, above 400% FPL </t>
  </si>
  <si>
    <t xml:space="preserve"> Marketplace Effectuated Enrollment, above 400% FPL estimated to receive APTC subsidies</t>
  </si>
  <si>
    <t xml:space="preserve"> Off-Exchange  Enrollment, below 400% FPL </t>
  </si>
  <si>
    <t xml:space="preserve">  Off-Exchange Enrollment, above 400% FPL </t>
  </si>
  <si>
    <t xml:space="preserve"> Off-Exchange Enrollment, above 400% FPL estimated to receive APTC subsidies</t>
  </si>
  <si>
    <t>(7)</t>
  </si>
  <si>
    <t xml:space="preserve">(8) </t>
  </si>
  <si>
    <t xml:space="preserve">(9) </t>
  </si>
  <si>
    <t xml:space="preserve">(10) </t>
  </si>
  <si>
    <t>(11)</t>
  </si>
  <si>
    <t xml:space="preserve">Total Off-Exchange Enrollment </t>
  </si>
  <si>
    <t>Total Uninsured Marketplace Eligible</t>
  </si>
  <si>
    <t>(12)</t>
  </si>
  <si>
    <t>(13)</t>
  </si>
  <si>
    <t>(14)</t>
  </si>
  <si>
    <t>(15)</t>
  </si>
  <si>
    <t>--</t>
  </si>
  <si>
    <t>2019 Gross Premium</t>
  </si>
  <si>
    <t>(16)</t>
  </si>
  <si>
    <t>(1) 2020 Mid-Year effectuated enrollment snapshot: https://www.kff.org/other/state-indicator/effectuated-marketplace-enrollment-and-financial-assistance/?currentTimeframe=0&amp;sortModel=%7B%22colId%22:%22Location%22,%22sort%22:%22asc%22%7D</t>
  </si>
  <si>
    <t>(2-3) We assume that from (1), all individuals receiving APTC have incomes below 400% FPL, and the remaining unsubsidized individuals have incomes above 400% FPL.</t>
  </si>
  <si>
    <t xml:space="preserve">(6-7) We assume that 38% of off-exchange enrollment has incomes below 400% FPL, and the remaining 62% have incomes above 400%FPL. Estimates based on QHP issuer submissions, CalSIM &amp; NHIS data, &amp; Fung et al. “Nearly One-Third of Enrollees in California’s Individual Market Missed Opportunities to Receive Financial Assistance,” Health Affairs Vol 36.1 (2017) 21-31. </t>
  </si>
  <si>
    <r>
      <t xml:space="preserve">Total Newly Eligible for APTC 
</t>
    </r>
    <r>
      <rPr>
        <sz val="6"/>
        <color theme="0"/>
        <rFont val="Arial"/>
        <family val="2"/>
      </rPr>
      <t>(includes &lt;400% not currently enrolled through marketplace)</t>
    </r>
  </si>
  <si>
    <t>Estimated Stimulus / SEP Marketing Campaign Spend on National Budget of $100M</t>
  </si>
  <si>
    <t>(18)</t>
  </si>
  <si>
    <t>CA Experience (do not modify)</t>
  </si>
  <si>
    <t>State-Based Exchange Total</t>
  </si>
  <si>
    <t>Federally-Facilitated Exchange Total</t>
  </si>
  <si>
    <t>FFE/SBE-FP</t>
  </si>
  <si>
    <t>Highlighted cells to right reflect CA experience,  change values to reflect different national assumptions --&gt;&gt;</t>
  </si>
  <si>
    <t>(19)</t>
  </si>
  <si>
    <t>(20)</t>
  </si>
  <si>
    <t>(21)</t>
  </si>
  <si>
    <t>Sources:</t>
  </si>
  <si>
    <t>(22)</t>
  </si>
  <si>
    <t>Uninsured Medicaid Eligible</t>
  </si>
  <si>
    <t>(23)</t>
  </si>
  <si>
    <t>ST</t>
  </si>
  <si>
    <t>US</t>
  </si>
  <si>
    <t>SBM</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</si>
  <si>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</si>
  <si>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</si>
  <si>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</si>
  <si>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</si>
  <si>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</si>
  <si>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</si>
  <si>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</si>
  <si>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</si>
  <si>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</si>
  <si>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</si>
  <si>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</si>
  <si>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</si>
  <si>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</si>
  <si>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</si>
  <si>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</si>
  <si>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</si>
  <si>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</si>
  <si>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</si>
  <si>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</si>
  <si>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</si>
  <si>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</si>
  <si>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</si>
  <si>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</si>
  <si>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</si>
  <si>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</si>
  <si>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</si>
  <si>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</si>
  <si>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</si>
  <si>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</si>
  <si>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</si>
  <si>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</si>
  <si>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</si>
  <si>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</si>
  <si>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</si>
  <si>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</si>
  <si>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</si>
  <si>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</si>
  <si>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</si>
  <si>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</si>
  <si>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</si>
  <si>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</si>
  <si>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</si>
  <si>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</si>
  <si>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</si>
  <si>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</si>
  <si>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</si>
  <si>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</si>
  <si>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</si>
  <si>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</si>
  <si>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</si>
  <si>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</si>
  <si>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Change in Unsubsidized Enrollment 2019 Compared to 2016</t>
  </si>
  <si>
    <t xml:space="preserve">Estimated Annual Marketing Funding Based on 0.82% Gross Premium Allocation </t>
  </si>
  <si>
    <t>Estimated Annual Marketing Funding Based on 25% of 0.82% Gross Premium Allocation</t>
  </si>
  <si>
    <t>Estimated Annual Marketing Funding Based on 33% of 0.82% Gross Premium Allocation</t>
  </si>
  <si>
    <t>Estimated Annual Marketing Funding Based on 50% of 0.82% Gross Premium Allocation</t>
  </si>
  <si>
    <t>Based on 2019 Gross Premiums; CoveredCA 2020/21 Budget -- Marketing/Outreach at 0.82% of Gross Premium (Note: CoveredCA Navigators and Other Outreach of 0.21% of premium NOT reflected)</t>
  </si>
  <si>
    <t>SBE Total</t>
  </si>
  <si>
    <t>FFE (and SBE-FP) Total</t>
  </si>
  <si>
    <t>Total Marketplace 2020 Enrollment</t>
  </si>
  <si>
    <t>FFE -- Big Unsub Drops</t>
  </si>
  <si>
    <t xml:space="preserve">Note: "FFE Big Unsub Drops" reflects total of the nine States (which were all in FFE) that had 2016 to 2019 drop of unsubsidized enrollment of over 70% (AZ, GA, IA, MS, NB, NH, OK, TN, WV) </t>
  </si>
  <si>
    <t>(13) Sum of all individuals with incomes greater than 400% FPL (columns  3, 7, &amp; 11).</t>
  </si>
  <si>
    <t>(14) Sum of all individuals with incomes greater than 400% FPL estimated to newly eligible to receive APTC (columns 4, 8, &amp; 12).</t>
  </si>
  <si>
    <t>(15) Sum of all individuals estimated to newly eligible to receive APTC (columns 4, 6, 8, 10, 12)</t>
  </si>
  <si>
    <t>California</t>
  </si>
  <si>
    <t>States with Large Drops in Unsubsidized Enrollment</t>
  </si>
  <si>
    <t>State-Based Exchanges</t>
  </si>
  <si>
    <t>Federally-Facilitated Exchanges</t>
  </si>
  <si>
    <t xml:space="preserve">Note: The "states with largest drops in unsubsidized enrollment" reflects total of the nine States (which were all in FFE) that had 2016 to 2019 drop of unsubsidized enrollment of over 70% (AZ, GA, IA, MS, NB, NH, OK, TN, WV) </t>
  </si>
  <si>
    <t>Covered California</t>
  </si>
  <si>
    <t>Total Eligible to Benefit from Subsidies</t>
  </si>
  <si>
    <t>2020 Average Subsidy Per Enrollee Per Month</t>
  </si>
  <si>
    <t>Calculation Field (Avg Subsidy x Average Enrollees)</t>
  </si>
  <si>
    <t>Assumption</t>
  </si>
  <si>
    <t>CA experience</t>
  </si>
  <si>
    <t>(24)</t>
  </si>
  <si>
    <t>(25)</t>
  </si>
  <si>
    <t>(26)</t>
  </si>
  <si>
    <t>(27)</t>
  </si>
  <si>
    <t>(28)</t>
  </si>
  <si>
    <t>Ratio Between Baseline ACA APTC and Estimated Stimulus APTC -&gt;</t>
  </si>
  <si>
    <t>Avg APTC for &gt;400% / Avg APTC &lt; 400% -&gt;</t>
  </si>
  <si>
    <t>(29)</t>
  </si>
  <si>
    <t>(30)</t>
  </si>
  <si>
    <t>(31)</t>
  </si>
  <si>
    <t>(26) CMS Center for Consumer Information and Insurance Oversight 2019 Risk Adjustment Report, Appendix A: https://www.cms.gov/files/document/appendixahhs-operated-risk-adjustment-program-state-specific-data.xlsx (No data for MA and VT, which operate their own risk adjustment programs.)</t>
  </si>
  <si>
    <t>(27) Estimated 1% of total 2019 gross premiums (column 16)</t>
  </si>
  <si>
    <t>(31) $100,000,000 Marketing budget divided among states based on share of newly APTC eligible (column 15).</t>
  </si>
  <si>
    <t>(25) CMS 2020. Trends in Subsidized and Unsubsidized Enrollment. Accessed at: https://www.cms.gov/CCIIO/Resources/Forms-Reports-and-Other-Resources/Downloads/Trends-Subsidized-Unsubsidized-Enrollment-BY18-19.pdf</t>
  </si>
  <si>
    <t>(24) KFF Distribution of Eligibility for ACA Health Coverage Among those Remaining Uninsured as of 2019. https://www.kff.org/health-reform/state-indicator/distribution-of-eligibility-for-aca-coverage-among-the-remaining-uninsured/?dataView=1&amp;currentTimeframe=0&amp;sortModel=%7B%22colId%22:%22Location%22,%22sort%22:%22asc%22%7D</t>
  </si>
  <si>
    <t>(16), (17) 2020 Mid-Year effectuated enrollment snapshot: https://www.kff.org/other/state-indicator/effectuated-marketplace-enrollment-and-financial-assistance/?currentTimeframe=0&amp;sortModel=%7B%22colId%22:%22Location%22,%22sort%22:%22asc%22%7D</t>
  </si>
  <si>
    <r>
      <t xml:space="preserve">(21),(22),(23) Total potential annual subsidy if </t>
    </r>
    <r>
      <rPr>
        <i/>
        <sz val="10"/>
        <color theme="1"/>
        <rFont val="Arial"/>
        <family val="2"/>
      </rPr>
      <t>complete</t>
    </r>
    <r>
      <rPr>
        <sz val="10"/>
        <color theme="1"/>
        <rFont val="Arial"/>
        <family val="2"/>
      </rPr>
      <t xml:space="preserve"> take-up at 12 months per year.</t>
    </r>
  </si>
  <si>
    <t>Total Potential Aggregate Annual Subsidy for Newly Eligible</t>
  </si>
  <si>
    <t>Off-Exchange Enrollees, below 400% FPL</t>
  </si>
  <si>
    <t>Off-Exchange Enrollees, above 400% FPL</t>
  </si>
  <si>
    <t>Uninsured Marketplace Eligible, below 400% FPL</t>
  </si>
  <si>
    <t>Uninsured Marketplace Eligible, above 400% FPL</t>
  </si>
  <si>
    <t>Currently Insured</t>
  </si>
  <si>
    <t>Currently Uninsured</t>
  </si>
  <si>
    <t>TOTAL</t>
  </si>
  <si>
    <t>Average Monthly Financial Help Per Newly Eligible Enrollee, above 400% FPL</t>
  </si>
  <si>
    <t>(8) An estimated 58% of California's off-exchange enrollment would be eligible to receive stimulus APTCs based on modeling of a theoretical California off-exchange population, that weights a sample of on-exchange enrollees and their plan selections by FPL, issuer, region, and age. We apply the 58% from California modeling to each state's estimated population of off-exchange enrollees with incomes greater than 400% FPL .</t>
  </si>
  <si>
    <t xml:space="preserve">(12) We apply the same 58% of estimated subsidy-eligible from the off-exchange approach to the uninsured above 400% FPL for each state. At this time, we do not have better estimates of the uninsured population to adjust this estimate. </t>
  </si>
  <si>
    <t>(17C)</t>
  </si>
  <si>
    <t>(17)</t>
  </si>
  <si>
    <t>Estimated Monthly Subsidy Per Enrollee, under 400% FPL</t>
  </si>
  <si>
    <t>Total Potential Aggregate Annual Subsidy for Newly Eligible,
under 400% FPL</t>
  </si>
  <si>
    <t>Total Marketplace Eligible Individuals Above 400% FPL</t>
  </si>
  <si>
    <t>Newly Eligible for APTC, Above 400% FPL</t>
  </si>
  <si>
    <t xml:space="preserve">Uninsured Marketplace Eligible, Below 400% FPL </t>
  </si>
  <si>
    <t xml:space="preserve">Uninsured Marketplace Eligible, Above 400% FPL </t>
  </si>
  <si>
    <t xml:space="preserve">Uninsured Marketplace Eligible, Above 400% FPL - Estimated Eligible for Stimulus APTC </t>
  </si>
  <si>
    <t>Estimated Monthly Subsidy Per Enrollee, above 400% FPL</t>
  </si>
  <si>
    <t>Estimated New Monthly Subsidy Per Enrollee, Under 400% FPL</t>
  </si>
  <si>
    <t>Total Potential Aggregate Annual Subsidy for Newly Eligible,
above 400% FPL</t>
  </si>
  <si>
    <t>2020 Average Count of APTC Enrollees</t>
  </si>
  <si>
    <t>(17C) Calculation field to derive average APTC by subgroups.</t>
  </si>
  <si>
    <t>(18), (19),(20) Estimated monthly subsidy amounts per enrollee using CA estimates of ratio between ACA subsidies and subsidies under stimulus for &lt;400% and &gt;400% FPL. First, we assume all states will experience same % increase in average APTC amount under the new subsidies as we model for California - this is imprecise as states will have different distributions of enrollee age, income, and benchmark premiums. Then, we assume that the over 400% FPL group average APTC will have the same relationship to the level of APTC for the &lt;400 FPL group that we model on California data.</t>
  </si>
  <si>
    <t>Average Monthly Financial Help for Newly Enrolling Individuals, below 400% FPL</t>
  </si>
  <si>
    <t>Average New Monthly Financial Help For Current Marketplace Enrollees, below 400% FPL</t>
  </si>
  <si>
    <t>SUBTOTAL: Currently Uninsured - Action Needed to Benefit</t>
  </si>
  <si>
    <t>SUBTOTAL: Currently Enrolled - Action Needed to Benefit</t>
  </si>
  <si>
    <t>Marketplace Enrollees, below 400% FPL - No Action Needed to Benefit</t>
  </si>
  <si>
    <t>Currently 
Insured</t>
  </si>
  <si>
    <t>ACTION 
NEEDED</t>
  </si>
  <si>
    <t>Share of (3) to receive APTC</t>
  </si>
  <si>
    <t>Share of (7) to receive APTC</t>
  </si>
  <si>
    <t xml:space="preserve">Share of (5)  below 400% </t>
  </si>
  <si>
    <t>Share of (11) to receive APTC</t>
  </si>
  <si>
    <t xml:space="preserve">(4) Based on modeling from Covered California's enrolled population with incomes over 400% FPL, we estimate that 64.5% of Covered California enrollees with incomes known to be above 400% FPL would qualify for APTCs based on their current plan selection and the new required contribution curve, and apply this estimate to each state-level estimated on-exchange population with incomes greater than 400% FPL. Note: California implemented a state subsidy program in 2020, it is possible that the income distribution of enrolled consumers over 400% FPL reflect selection into market by those eligible for larger subsidies, and as a result, this analysis could be overestimating eligibility. Unfortunately, the extent of this selection is unknown at this time, and as a result we have not adjusted these estimates for this possible effect, </t>
  </si>
  <si>
    <t>Total Eligible to Benefit from Affordable Coverage</t>
  </si>
  <si>
    <t>SUBTOTAL</t>
  </si>
  <si>
    <t xml:space="preserve"> Covered CA Eligible, below 400% FPL</t>
  </si>
  <si>
    <t xml:space="preserve"> Covered CA Eligible, above 400% FPL</t>
  </si>
  <si>
    <t>Covered CA, below 400% FPL</t>
  </si>
  <si>
    <t>Off-Exchange, above 400% FPL</t>
  </si>
  <si>
    <t>Off-Exchange, below 400% FPL</t>
  </si>
  <si>
    <t>SUBTOTAL: Currently Enrolled - No Action Needed to Benefit</t>
  </si>
  <si>
    <t>Marketplace Enrollees, above 400% FPL - Newly Eligible for ARP</t>
  </si>
  <si>
    <t>Illinois</t>
  </si>
  <si>
    <t>Maine</t>
  </si>
  <si>
    <t>Washington</t>
  </si>
  <si>
    <t>Oregon</t>
  </si>
  <si>
    <t>New York</t>
  </si>
  <si>
    <t xml:space="preserve">(9)-(11) U.S. Department of Health and Human Services, Office of the Assistance Secretary for Planning and Evaluation. "State and Local Estimates of the Uninsured Population in the U.S. Using the Census Bureau’s 2019 American Community Survey." Published March 12, 2021 at: https://aspe.hhs.gov/pdf-report/estimates-of-the-qhp-eligible-uninsured </t>
  </si>
  <si>
    <t>American Rescue Plan – Landscape of the 25 Million Americans Eligible for New Assistance</t>
  </si>
  <si>
    <t>(5) Off-exchange estimates do not include consumers who may be enrolled in coverage that is not ACA compliant (e.g. "grandfathered" plans), who may also benefit from new subsidies. Off-exchange enrollment is calculated using 2019 CCIIO individual market member months, and subtracting out 2019 total effecutated enrollment. CCIIO: https://www.cms.gov/CCIIO/Programs-and-Initiatives/Premium-Stabilization-Programs; 2019 Effectuated Enrollment: https://www.cms.gov/CCIIO/Resources/Forms-Reports-and-Other-Resources/Downloads/Early-2020-2019-Effectuated-Enrollment-Report.pdf</t>
  </si>
  <si>
    <t>American Rescue Plan – Landscape of the 25 Million Americans Eligible for New Assistance, State by State Data</t>
  </si>
  <si>
    <t>Draft -- 3/15/2021</t>
  </si>
  <si>
    <t>Potential Marketing Spends for FFE and SBEs if Spending at CoveredCA % of Premium Levels</t>
  </si>
  <si>
    <t>Key Assumptions for Estimating Eligibility for APTC Under American Rescue Plan (per "State by State Data" tab):</t>
  </si>
  <si>
    <t xml:space="preserve">The share of the population in each category in each state that would be eligible for APTC that reduces their net premiums is unknown, and depends on the age, income, zipcode, and benchmark premium for that consumer. This analysis uses a set of assumptions to provide an estimate of the eligible population based on data available to Covered California. This modeling is inherently uncertain, as results from California may not generalize to other states. The following three key assumptions are used at the columns noted in the "State by State Data" tab, highlighted in yellow, and set to be adjustable in the workbook. </t>
  </si>
  <si>
    <t xml:space="preserve"> SUBTOTAL: No Action Needed</t>
  </si>
  <si>
    <t>Covered CA, above 400% FPL</t>
  </si>
  <si>
    <t>ACTION 
NEEDED
BY CONSUMER</t>
  </si>
  <si>
    <t>NO ACTION NEEDED BY CONSUMER</t>
  </si>
  <si>
    <t xml:space="preserve">Landscape of the 25 Million Americans Eligible for New Assistance*
</t>
  </si>
  <si>
    <t xml:space="preserve">American Rescue Plan -- Landscape of the 25 Million Americans Eligible for New Assistance*
</t>
  </si>
  <si>
    <t xml:space="preserve">American Rescue Plan - Landscape of the 25 Million Americans Eligible for New Assistance*
</t>
  </si>
  <si>
    <r>
      <t xml:space="preserve">* Table only shows those estimated to be eligible for subsidies based on maximum required contribution percentage of household income using available administrative data (on income, age, and benchmark premiums) from California's marketplace: the actual eligibility may differ to the extent that there are differences in the age, income, and premium costs for other states and the off-exchange from what is observed in Covered California's data. </t>
    </r>
    <r>
      <rPr>
        <b/>
        <sz val="8"/>
        <color theme="1"/>
        <rFont val="Arial"/>
        <family val="2"/>
      </rPr>
      <t xml:space="preserve">Not shown are the estimated 1.4 million consumers who may receive higher subsidies because they are receiving unemployment insurance income. </t>
    </r>
    <r>
      <rPr>
        <sz val="8"/>
        <color theme="1"/>
        <rFont val="Arial"/>
        <family val="2"/>
      </rPr>
      <t xml:space="preserve">Additionally, off-exchange estimates do not include consumers who may be enrolled in coverage that is not ACA compliant (e.g. "grandfathered" plans), who may also benefit from new subsidies.
</t>
    </r>
  </si>
  <si>
    <r>
      <t xml:space="preserve">* Table only shows those estimated to be eligible for subsidies based on maximum required contribution percentage of household income using available administrative data (on income, age, and benchmark premiums) from California's marketplace: the actual eligibility may differ to the extent that there are differences in the age, income, and premium costs for other states and the off-exchange from what is observed in Covered California's data. </t>
    </r>
    <r>
      <rPr>
        <b/>
        <sz val="8"/>
        <color theme="1"/>
        <rFont val="Arial"/>
        <family val="2"/>
      </rPr>
      <t xml:space="preserve">Not shown are the estimated 1.4 million consumers who may receive higher subsidies because they are receiving unemployment insurance income. </t>
    </r>
    <r>
      <rPr>
        <sz val="8"/>
        <color theme="1"/>
        <rFont val="Arial"/>
        <family val="2"/>
      </rPr>
      <t>Additionally, off-exchange estimates do not include consumers who may be enrolled in coverage that is not ACA compliant (e.g. "grandfathered" plans), who may also benefit from new subsidies.
** Federally-Facilitated Exchanges includes State-Based Exchanges utilizing the Federal Marketplace Platform.
*** The "states with largest drops in unsubsidized enrollment" reflects total of the nine States (which were all in FFE) that had 2016 to 2019 drop of unsubsidized enrollment of over 70% (AZ, GA, IA, MS, NB, NH, OK, TN, WV).</t>
    </r>
  </si>
  <si>
    <r>
      <t>* Table only shows those estimated to be eligible for subsidies based on maximum required contribution percentage of household income using available administrative data (on income, age, and benchmark premiums) from California's marketplace: the actual eligibility may differ to the extent that there are differences in the age, income, and premium costs for other states and the off-exchange from what is observed in Covered California's data.</t>
    </r>
    <r>
      <rPr>
        <b/>
        <sz val="8"/>
        <color theme="1"/>
        <rFont val="Arial"/>
        <family val="2"/>
      </rPr>
      <t xml:space="preserve"> Not shown are the estimated 1.4 million consumers who may receive higher subsidies because they are receiving unemployment insurance income. </t>
    </r>
    <r>
      <rPr>
        <sz val="8"/>
        <color theme="1"/>
        <rFont val="Arial"/>
        <family val="2"/>
      </rPr>
      <t>Additionally, off-exchange estimates do not include consumers who may be enrolled in coverage that is not ACA compliant (e.g. "grandfathered" plans), who may also benefit from new subsidies.
** Federally-Facilitated Exchanges includes State-Based Exchanges utilizing the Federal Marketplace Platform.
*** The "states with largest drops in unsubsidized enrollment" reflects total of the nine States (which were all in FFE) that had 2016 to 2019 drop of unsubsidized enrollment of over 70% (AZ, GA, IA, MS, NB, NH, OK, TN, WV).</t>
    </r>
  </si>
  <si>
    <t xml:space="preserve"> 3/15/2021</t>
  </si>
  <si>
    <t>Modeling for American Rescue Plan Spending for Total Year and at 25%, 33%, or 50% To Be Spent Respectively In Periods of April through June 2021, and for 2022 Open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</si>
</sst>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
    <numFmt numFmtId="165" formatCode="0.0%"/>
    <numFmt numFmtId="166" formatCode="#.0,,&quot;M&quot;"/>
    <numFmt numFmtId="167" formatCode="_(&quot;$&quot;* #,##0_);_(&quot;$&quot;* \(#,##0\);_(&quot;$&quot;* &quot;-&quot;??_);_(@_)"/>
    <numFmt numFmtId="168" formatCode="_(* #,##0_);_(* \(#,##0\);_(* &quot;-&quot;??_);_(@_)"/>
    <numFmt numFmtId="169" formatCode="#.#,,&quot;M&quot;"/>
  </numFmts>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rgb="FF393D40"/>
      <name val="Arial"/>
      <family val="2"/>
    </font>
    <font>
      <sz val="10"/>
      <color rgb="FF393D40"/>
      <name val="Arial"/>
      <family val="2"/>
    </font>
    <font>
      <b/>
      <sz val="16"/>
      <color theme="1"/>
      <name val="Arial"/>
      <family val="2"/>
    </font>
    <font>
      <b/>
      <sz val="10"/>
      <color theme="0"/>
      <name val="Arial"/>
      <family val="2"/>
    </font>
    <font>
      <sz val="6"/>
      <color theme="0"/>
      <name val="Arial"/>
      <family val="2"/>
    </font>
    <font>
      <i/>
      <sz val="10"/>
      <color theme="1"/>
      <name val="Arial"/>
      <family val="2"/>
    </font>
    <font>
      <i/>
      <sz val="10"/>
      <color rgb="FF393D40"/>
      <name val="Arial"/>
      <family val="2"/>
    </font>
    <font>
      <i/>
      <sz val="10"/>
      <name val="Arial"/>
      <family val="2"/>
    </font>
    <font>
      <sz val="14"/>
      <color theme="1"/>
      <name val="Calibri"/>
      <family val="2"/>
      <scheme val="minor"/>
    </font>
    <font>
      <b/>
      <sz val="14"/>
      <color theme="1"/>
      <name val="Arial"/>
      <family val="2"/>
    </font>
    <font>
      <sz val="10"/>
      <color rgb="FF000000"/>
      <name val="Times New Roman"/>
      <family val="1"/>
    </font>
    <font>
      <sz val="8"/>
      <name val="Calibri"/>
      <family val="2"/>
      <scheme val="minor"/>
    </font>
    <font>
      <sz val="8"/>
      <color theme="1"/>
      <name val="Arial"/>
      <family val="2"/>
    </font>
    <font>
      <sz val="10"/>
      <color rgb="FF000000"/>
      <name val="Arial"/>
      <family val="2"/>
    </font>
    <font>
      <b/>
      <sz val="10"/>
      <color rgb="FF000000"/>
      <name val="Arial"/>
      <family val="2"/>
    </font>
    <font>
      <sz val="14"/>
      <color theme="1"/>
      <name val="Arial"/>
      <family val="2"/>
    </font>
    <font>
      <b/>
      <i/>
      <sz val="10"/>
      <color theme="0"/>
      <name val="Arial"/>
      <family val="2"/>
    </font>
    <font>
      <i/>
      <sz val="8"/>
      <name val="Arial"/>
      <family val="2"/>
    </font>
    <font>
      <sz val="10"/>
      <color theme="0"/>
      <name val="Arial"/>
      <family val="2"/>
    </font>
    <font>
      <b/>
      <sz val="9"/>
      <color theme="0"/>
      <name val="Arial"/>
      <family val="2"/>
    </font>
    <font>
      <sz val="12"/>
      <color theme="1"/>
      <name val="Arial"/>
      <family val="2"/>
    </font>
    <font>
      <b/>
      <sz val="8"/>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FFFF00"/>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
      <patternFill patternType="solid">
        <fgColor rgb="FF2D77A4"/>
        <bgColor indexed="64"/>
      </patternFill>
    </fill>
    <fill>
      <patternFill patternType="solid">
        <fgColor theme="1" tint="0.34998626667073579"/>
        <bgColor indexed="64"/>
      </patternFill>
    </fill>
    <fill>
      <patternFill patternType="solid">
        <fgColor theme="0" tint="-0.14999847407452621"/>
        <bgColor indexed="64"/>
      </patternFill>
    </fill>
  </fills>
  <borders count="1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CCCCCC"/>
      </right>
      <top/>
      <bottom/>
      <diagonal/>
    </border>
    <border>
      <left/>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theme="4"/>
      </bottom>
      <diagonal/>
    </border>
    <border>
      <left style="thin">
        <color indexed="64"/>
      </left>
      <right style="medium">
        <color rgb="FFCCCCCC"/>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style="thin">
        <color theme="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style="thin">
        <color rgb="FF000000"/>
      </top>
      <bottom/>
      <diagonal/>
    </border>
    <border>
      <left style="medium">
        <color indexed="64"/>
      </left>
      <right style="thin">
        <color indexed="64"/>
      </right>
      <top style="thin">
        <color rgb="FF000000"/>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rgb="FF000000"/>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2" fillId="0" borderId="0"/>
  </cellStyleXfs>
  <cellXfs count="331">
    <xf numFmtId="0" fontId="0" fillId="0" borderId="0" xfId="0"/>
    <xf numFmtId="0" fontId="18" fillId="0" borderId="0" xfId="0" applyFont="1"/>
    <xf numFmtId="3" fontId="18" fillId="0" borderId="0" xfId="0" applyNumberFormat="1" applyFont="1"/>
    <xf numFmtId="0" fontId="20" fillId="0" borderId="0" xfId="0" applyFont="1"/>
    <xf numFmtId="3" fontId="20" fillId="0" borderId="0" xfId="0" applyNumberFormat="1" applyFont="1"/>
    <xf numFmtId="10" fontId="18" fillId="0" borderId="0" xfId="42" applyNumberFormat="1" applyFont="1"/>
    <xf numFmtId="0" fontId="23" fillId="0" borderId="0" xfId="0" applyFont="1" applyFill="1" applyBorder="1" applyAlignment="1">
      <alignment vertical="center" wrapText="1"/>
    </xf>
    <xf numFmtId="0" fontId="24" fillId="0" borderId="0" xfId="0" applyFont="1"/>
    <xf numFmtId="0" fontId="20" fillId="0" borderId="0" xfId="0" applyFont="1" applyFill="1" applyBorder="1" applyAlignment="1">
      <alignment horizontal="center" vertical="center"/>
    </xf>
    <xf numFmtId="9" fontId="20" fillId="0" borderId="0" xfId="42" applyFont="1"/>
    <xf numFmtId="0" fontId="20" fillId="0" borderId="0" xfId="0" applyFont="1" applyAlignment="1">
      <alignment vertical="top"/>
    </xf>
    <xf numFmtId="0" fontId="18" fillId="0" borderId="0" xfId="0" applyFont="1" applyAlignment="1">
      <alignment vertical="top"/>
    </xf>
    <xf numFmtId="0" fontId="19" fillId="0" borderId="0" xfId="0" applyFont="1" applyAlignment="1">
      <alignment vertical="center"/>
    </xf>
    <xf numFmtId="0" fontId="20" fillId="0" borderId="0" xfId="0" applyFont="1" applyAlignment="1">
      <alignment horizontal="right"/>
    </xf>
    <xf numFmtId="0" fontId="20" fillId="0" borderId="0" xfId="0" applyFont="1" applyAlignment="1">
      <alignment horizontal="right" vertical="top"/>
    </xf>
    <xf numFmtId="0" fontId="20" fillId="0" borderId="0" xfId="0" quotePrefix="1" applyFont="1" applyAlignment="1">
      <alignment horizontal="right"/>
    </xf>
    <xf numFmtId="3" fontId="20" fillId="0" borderId="0" xfId="0" applyNumberFormat="1" applyFont="1" applyAlignment="1">
      <alignment horizontal="right"/>
    </xf>
    <xf numFmtId="9" fontId="20" fillId="0" borderId="0" xfId="42" applyFont="1" applyAlignment="1">
      <alignment horizontal="right"/>
    </xf>
    <xf numFmtId="3" fontId="20" fillId="0" borderId="12" xfId="0" applyNumberFormat="1" applyFont="1" applyBorder="1" applyAlignment="1">
      <alignment horizontal="right" vertical="center" wrapText="1"/>
    </xf>
    <xf numFmtId="3" fontId="20" fillId="0" borderId="13" xfId="0" applyNumberFormat="1" applyFont="1" applyBorder="1" applyAlignment="1">
      <alignment horizontal="right" vertical="center"/>
    </xf>
    <xf numFmtId="3" fontId="20" fillId="0" borderId="14" xfId="0" applyNumberFormat="1" applyFont="1" applyBorder="1" applyAlignment="1">
      <alignment horizontal="right" vertical="center"/>
    </xf>
    <xf numFmtId="164" fontId="20" fillId="0" borderId="12" xfId="0" quotePrefix="1" applyNumberFormat="1" applyFont="1" applyBorder="1" applyAlignment="1">
      <alignment horizontal="right" vertical="center"/>
    </xf>
    <xf numFmtId="164" fontId="20" fillId="0" borderId="14" xfId="0" quotePrefix="1" applyNumberFormat="1" applyFont="1" applyBorder="1" applyAlignment="1">
      <alignment horizontal="right"/>
    </xf>
    <xf numFmtId="3" fontId="20" fillId="0" borderId="12" xfId="0" applyNumberFormat="1" applyFont="1" applyBorder="1" applyAlignment="1">
      <alignment horizontal="right" vertical="center"/>
    </xf>
    <xf numFmtId="164" fontId="20" fillId="0" borderId="12" xfId="0" applyNumberFormat="1" applyFont="1" applyBorder="1" applyAlignment="1">
      <alignment horizontal="right" vertical="center"/>
    </xf>
    <xf numFmtId="164" fontId="20" fillId="0" borderId="14" xfId="0" applyNumberFormat="1" applyFont="1" applyBorder="1" applyAlignment="1">
      <alignment horizontal="right"/>
    </xf>
    <xf numFmtId="0" fontId="27" fillId="0" borderId="0" xfId="0" applyFont="1"/>
    <xf numFmtId="0" fontId="18" fillId="0" borderId="0" xfId="0" applyFont="1" applyAlignment="1">
      <alignment horizontal="left" vertical="top" wrapText="1"/>
    </xf>
    <xf numFmtId="0" fontId="21" fillId="0" borderId="15" xfId="0" applyFont="1" applyBorder="1" applyAlignment="1">
      <alignment horizontal="left" vertical="center"/>
    </xf>
    <xf numFmtId="165" fontId="20" fillId="0" borderId="0" xfId="42" applyNumberFormat="1" applyFont="1" applyAlignment="1">
      <alignment horizontal="right"/>
    </xf>
    <xf numFmtId="165" fontId="20" fillId="34" borderId="0" xfId="42" applyNumberFormat="1" applyFont="1" applyFill="1" applyAlignment="1">
      <alignment horizontal="right"/>
    </xf>
    <xf numFmtId="9" fontId="20" fillId="34" borderId="0" xfId="42" applyFont="1" applyFill="1" applyAlignment="1">
      <alignment horizontal="right"/>
    </xf>
    <xf numFmtId="165" fontId="20" fillId="0" borderId="0" xfId="42" applyNumberFormat="1" applyFont="1" applyFill="1" applyAlignment="1">
      <alignment horizontal="right"/>
    </xf>
    <xf numFmtId="9" fontId="20" fillId="0" borderId="0" xfId="42" applyFont="1" applyFill="1" applyAlignment="1">
      <alignment horizontal="right"/>
    </xf>
    <xf numFmtId="0" fontId="21" fillId="0" borderId="16" xfId="0" applyFont="1" applyBorder="1" applyAlignment="1">
      <alignment vertical="center" wrapText="1"/>
    </xf>
    <xf numFmtId="0" fontId="22" fillId="33" borderId="1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4" xfId="0" applyFont="1" applyFill="1" applyBorder="1" applyAlignment="1">
      <alignment horizontal="center" vertical="center" wrapText="1"/>
    </xf>
    <xf numFmtId="3" fontId="21" fillId="0" borderId="0" xfId="0" applyNumberFormat="1" applyFont="1" applyBorder="1" applyAlignment="1">
      <alignment horizontal="right" vertical="center" wrapText="1"/>
    </xf>
    <xf numFmtId="0" fontId="21" fillId="0" borderId="0" xfId="0" applyFont="1" applyBorder="1" applyAlignment="1">
      <alignment horizontal="center" vertical="center"/>
    </xf>
    <xf numFmtId="164" fontId="21" fillId="0" borderId="0" xfId="0" applyNumberFormat="1" applyFont="1" applyBorder="1" applyAlignment="1">
      <alignment horizontal="right" vertical="center" wrapText="1"/>
    </xf>
    <xf numFmtId="0" fontId="21" fillId="0" borderId="17" xfId="0" applyFont="1" applyBorder="1" applyAlignment="1">
      <alignment vertical="center" wrapText="1"/>
    </xf>
    <xf numFmtId="3" fontId="21" fillId="0" borderId="16" xfId="0" applyNumberFormat="1" applyFont="1" applyBorder="1" applyAlignment="1">
      <alignment horizontal="right" vertical="center"/>
    </xf>
    <xf numFmtId="164" fontId="21" fillId="0" borderId="16" xfId="43" applyNumberFormat="1" applyFont="1" applyBorder="1" applyAlignment="1">
      <alignment horizontal="right" vertical="center"/>
    </xf>
    <xf numFmtId="0" fontId="21" fillId="0" borderId="18" xfId="0" applyFont="1" applyBorder="1" applyAlignment="1">
      <alignment horizontal="left" vertical="center"/>
    </xf>
    <xf numFmtId="0" fontId="21" fillId="0" borderId="11" xfId="0" applyFont="1" applyBorder="1" applyAlignment="1">
      <alignment horizontal="center" vertical="center"/>
    </xf>
    <xf numFmtId="3" fontId="21" fillId="0" borderId="11" xfId="0" applyNumberFormat="1" applyFont="1" applyBorder="1" applyAlignment="1">
      <alignment horizontal="right" vertical="center" wrapText="1"/>
    </xf>
    <xf numFmtId="164" fontId="21" fillId="0" borderId="11" xfId="0" applyNumberFormat="1" applyFont="1" applyBorder="1" applyAlignment="1">
      <alignment horizontal="right" vertical="center" wrapText="1"/>
    </xf>
    <xf numFmtId="0" fontId="20" fillId="0" borderId="0" xfId="0" applyFont="1" applyAlignment="1">
      <alignment horizontal="left" indent="1"/>
    </xf>
    <xf numFmtId="0" fontId="0" fillId="0" borderId="0" xfId="0" applyAlignment="1">
      <alignment horizontal="left" indent="1"/>
    </xf>
    <xf numFmtId="0" fontId="18" fillId="0" borderId="0" xfId="0" applyFont="1" applyFill="1"/>
    <xf numFmtId="0" fontId="20" fillId="0" borderId="0" xfId="0" applyFont="1" applyFill="1"/>
    <xf numFmtId="3" fontId="20" fillId="0" borderId="0" xfId="0" applyNumberFormat="1" applyFont="1" applyFill="1" applyAlignment="1">
      <alignment horizontal="right"/>
    </xf>
    <xf numFmtId="0" fontId="23" fillId="0" borderId="0" xfId="0" applyFont="1" applyFill="1" applyBorder="1" applyAlignment="1">
      <alignment horizontal="center" vertical="center" wrapText="1"/>
    </xf>
    <xf numFmtId="0" fontId="21" fillId="0" borderId="16" xfId="0" applyFont="1" applyBorder="1" applyAlignment="1">
      <alignment horizontal="center" vertical="center" wrapText="1"/>
    </xf>
    <xf numFmtId="0" fontId="24" fillId="0" borderId="0" xfId="0" applyFont="1" applyAlignment="1">
      <alignment horizontal="center" vertical="center"/>
    </xf>
    <xf numFmtId="0" fontId="27"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Fill="1" applyAlignment="1">
      <alignment horizontal="center" vertical="center"/>
    </xf>
    <xf numFmtId="3" fontId="18" fillId="0" borderId="0" xfId="0" applyNumberFormat="1" applyFont="1" applyAlignment="1">
      <alignment horizontal="center" vertical="center"/>
    </xf>
    <xf numFmtId="10" fontId="18" fillId="0" borderId="0" xfId="42" applyNumberFormat="1" applyFont="1" applyAlignment="1">
      <alignment horizontal="center" vertical="center"/>
    </xf>
    <xf numFmtId="3" fontId="20" fillId="0" borderId="19" xfId="0" applyNumberFormat="1" applyFont="1" applyBorder="1" applyAlignment="1">
      <alignment horizontal="right" vertical="center"/>
    </xf>
    <xf numFmtId="0" fontId="25" fillId="35" borderId="20" xfId="0" applyFont="1" applyFill="1" applyBorder="1" applyAlignment="1">
      <alignment horizontal="center" vertical="center" wrapText="1"/>
    </xf>
    <xf numFmtId="0" fontId="25" fillId="35" borderId="21" xfId="0" applyFont="1" applyFill="1" applyBorder="1" applyAlignment="1">
      <alignment horizontal="center" vertical="center" wrapText="1"/>
    </xf>
    <xf numFmtId="0" fontId="25" fillId="35" borderId="22" xfId="0" applyFont="1" applyFill="1" applyBorder="1" applyAlignment="1">
      <alignment horizontal="center" vertical="center" wrapText="1"/>
    </xf>
    <xf numFmtId="3" fontId="21" fillId="0" borderId="23" xfId="0" applyNumberFormat="1" applyFont="1" applyBorder="1" applyAlignment="1">
      <alignment horizontal="right" vertical="center"/>
    </xf>
    <xf numFmtId="3" fontId="21" fillId="0" borderId="24" xfId="0" applyNumberFormat="1" applyFont="1" applyBorder="1" applyAlignment="1">
      <alignment horizontal="right" vertical="center"/>
    </xf>
    <xf numFmtId="3" fontId="21" fillId="0" borderId="25" xfId="0" applyNumberFormat="1" applyFont="1" applyBorder="1" applyAlignment="1">
      <alignment horizontal="right" vertical="center" wrapText="1"/>
    </xf>
    <xf numFmtId="3" fontId="21" fillId="0" borderId="26" xfId="0" applyNumberFormat="1" applyFont="1" applyBorder="1" applyAlignment="1">
      <alignment horizontal="right" vertical="center" wrapText="1"/>
    </xf>
    <xf numFmtId="3" fontId="21" fillId="0" borderId="27" xfId="0" applyNumberFormat="1" applyFont="1" applyBorder="1" applyAlignment="1">
      <alignment horizontal="right" vertical="center" wrapText="1"/>
    </xf>
    <xf numFmtId="3" fontId="21" fillId="0" borderId="28" xfId="0" applyNumberFormat="1" applyFont="1" applyBorder="1" applyAlignment="1">
      <alignment horizontal="right" vertical="center" wrapText="1"/>
    </xf>
    <xf numFmtId="3" fontId="20" fillId="0" borderId="29" xfId="0" applyNumberFormat="1" applyFont="1" applyBorder="1" applyAlignment="1">
      <alignment horizontal="right" vertical="center"/>
    </xf>
    <xf numFmtId="3" fontId="20" fillId="0" borderId="30" xfId="0" applyNumberFormat="1" applyFont="1" applyBorder="1" applyAlignment="1">
      <alignment horizontal="right" vertical="center"/>
    </xf>
    <xf numFmtId="3" fontId="20" fillId="0" borderId="31" xfId="0" applyNumberFormat="1" applyFont="1" applyBorder="1" applyAlignment="1">
      <alignment horizontal="right" vertical="center"/>
    </xf>
    <xf numFmtId="0" fontId="22"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33" borderId="36"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0" borderId="23" xfId="0" applyFont="1" applyBorder="1" applyAlignment="1">
      <alignment vertical="center" wrapText="1"/>
    </xf>
    <xf numFmtId="0" fontId="21" fillId="0" borderId="25" xfId="0" applyFont="1" applyBorder="1" applyAlignment="1">
      <alignment horizontal="left" vertical="center"/>
    </xf>
    <xf numFmtId="0" fontId="23" fillId="0" borderId="25" xfId="0" applyFont="1" applyFill="1" applyBorder="1" applyAlignment="1">
      <alignment vertical="center" wrapText="1"/>
    </xf>
    <xf numFmtId="0" fontId="21" fillId="0" borderId="27" xfId="0" applyFont="1" applyBorder="1" applyAlignment="1">
      <alignment horizontal="left" vertical="center"/>
    </xf>
    <xf numFmtId="0" fontId="23" fillId="0" borderId="37" xfId="0" applyFont="1" applyFill="1" applyBorder="1" applyAlignment="1">
      <alignment vertical="center" wrapText="1"/>
    </xf>
    <xf numFmtId="0" fontId="23" fillId="0" borderId="38" xfId="0" applyFont="1" applyFill="1" applyBorder="1" applyAlignment="1">
      <alignment horizontal="center" vertical="center" wrapText="1"/>
    </xf>
    <xf numFmtId="0" fontId="20" fillId="0" borderId="38" xfId="0" applyFont="1" applyFill="1" applyBorder="1" applyAlignment="1">
      <alignment horizontal="center" vertical="center"/>
    </xf>
    <xf numFmtId="3" fontId="20" fillId="0" borderId="29" xfId="0" applyNumberFormat="1" applyFont="1" applyBorder="1" applyAlignment="1">
      <alignment horizontal="right" vertical="center" wrapText="1"/>
    </xf>
    <xf numFmtId="3" fontId="20" fillId="0" borderId="39" xfId="0" applyNumberFormat="1" applyFont="1" applyBorder="1" applyAlignment="1">
      <alignment horizontal="right" vertical="center"/>
    </xf>
    <xf numFmtId="3" fontId="21" fillId="0" borderId="23" xfId="0" applyNumberFormat="1" applyFont="1" applyBorder="1" applyAlignment="1">
      <alignment horizontal="right"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3" fontId="29" fillId="0" borderId="12" xfId="0" applyNumberFormat="1" applyFont="1" applyBorder="1" applyAlignment="1">
      <alignment horizontal="right" vertical="center" wrapText="1"/>
    </xf>
    <xf numFmtId="3" fontId="29" fillId="0" borderId="13" xfId="0" applyNumberFormat="1" applyFont="1" applyBorder="1" applyAlignment="1">
      <alignment horizontal="right" vertical="center"/>
    </xf>
    <xf numFmtId="3" fontId="29" fillId="0" borderId="14" xfId="0" applyNumberFormat="1" applyFont="1" applyBorder="1" applyAlignment="1">
      <alignment horizontal="right" vertical="center"/>
    </xf>
    <xf numFmtId="3" fontId="29" fillId="0" borderId="12" xfId="0" applyNumberFormat="1" applyFont="1" applyBorder="1" applyAlignment="1">
      <alignment horizontal="right" vertical="center"/>
    </xf>
    <xf numFmtId="0" fontId="16" fillId="0" borderId="0" xfId="0" applyFont="1"/>
    <xf numFmtId="0" fontId="30" fillId="0" borderId="0" xfId="0" applyFont="1"/>
    <xf numFmtId="0" fontId="31" fillId="0" borderId="0" xfId="0" applyFont="1"/>
    <xf numFmtId="0" fontId="25" fillId="35" borderId="34" xfId="0" applyFont="1" applyFill="1" applyBorder="1" applyAlignment="1">
      <alignment horizontal="center" vertical="center" wrapText="1"/>
    </xf>
    <xf numFmtId="167" fontId="21" fillId="0" borderId="16" xfId="43" applyNumberFormat="1" applyFont="1" applyBorder="1" applyAlignment="1">
      <alignment horizontal="right" vertical="center"/>
    </xf>
    <xf numFmtId="167" fontId="21" fillId="0" borderId="0" xfId="43" applyNumberFormat="1" applyFont="1" applyBorder="1" applyAlignment="1">
      <alignment horizontal="right" vertical="center" wrapText="1"/>
    </xf>
    <xf numFmtId="167" fontId="29" fillId="0" borderId="0" xfId="43" applyNumberFormat="1" applyFont="1" applyBorder="1" applyAlignment="1">
      <alignment horizontal="right" vertical="center"/>
    </xf>
    <xf numFmtId="167" fontId="21" fillId="0" borderId="11" xfId="43" applyNumberFormat="1" applyFont="1" applyBorder="1" applyAlignment="1">
      <alignment horizontal="right" vertical="center" wrapText="1"/>
    </xf>
    <xf numFmtId="167" fontId="20" fillId="0" borderId="0" xfId="43" applyNumberFormat="1" applyFont="1" applyBorder="1" applyAlignment="1">
      <alignment horizontal="right" vertical="center"/>
    </xf>
    <xf numFmtId="167" fontId="20" fillId="0" borderId="38" xfId="43" applyNumberFormat="1" applyFont="1" applyBorder="1" applyAlignment="1">
      <alignment horizontal="right" vertical="center"/>
    </xf>
    <xf numFmtId="168" fontId="21" fillId="0" borderId="16" xfId="44" applyNumberFormat="1" applyFont="1" applyBorder="1" applyAlignment="1">
      <alignment horizontal="right" vertical="center"/>
    </xf>
    <xf numFmtId="168" fontId="21" fillId="0" borderId="0" xfId="44" applyNumberFormat="1" applyFont="1" applyBorder="1" applyAlignment="1">
      <alignment horizontal="right" vertical="center" wrapText="1"/>
    </xf>
    <xf numFmtId="168" fontId="29" fillId="0" borderId="0" xfId="44" applyNumberFormat="1" applyFont="1" applyBorder="1" applyAlignment="1">
      <alignment horizontal="right" vertical="center"/>
    </xf>
    <xf numFmtId="168" fontId="21" fillId="0" borderId="11" xfId="44" applyNumberFormat="1" applyFont="1" applyBorder="1" applyAlignment="1">
      <alignment horizontal="right" vertical="center" wrapText="1"/>
    </xf>
    <xf numFmtId="168" fontId="20" fillId="0" borderId="0" xfId="44" applyNumberFormat="1" applyFont="1" applyBorder="1" applyAlignment="1">
      <alignment horizontal="right" vertical="center"/>
    </xf>
    <xf numFmtId="168" fontId="20" fillId="0" borderId="38" xfId="44" applyNumberFormat="1" applyFont="1" applyBorder="1" applyAlignment="1">
      <alignment horizontal="right" vertical="center"/>
    </xf>
    <xf numFmtId="0" fontId="36" fillId="37" borderId="0" xfId="0" applyFont="1" applyFill="1" applyBorder="1" applyAlignment="1">
      <alignment horizontal="left" vertical="center" wrapText="1" readingOrder="1"/>
    </xf>
    <xf numFmtId="166" fontId="19" fillId="37" borderId="0" xfId="0" applyNumberFormat="1" applyFont="1" applyFill="1" applyBorder="1" applyAlignment="1">
      <alignment horizontal="center" vertical="center"/>
    </xf>
    <xf numFmtId="9" fontId="21" fillId="37" borderId="0" xfId="42" applyFont="1" applyFill="1" applyBorder="1" applyAlignment="1">
      <alignment horizontal="center" vertical="center"/>
    </xf>
    <xf numFmtId="9" fontId="19" fillId="37" borderId="0" xfId="42" applyFont="1" applyFill="1" applyBorder="1" applyAlignment="1">
      <alignment horizontal="center" vertical="center"/>
    </xf>
    <xf numFmtId="0" fontId="37" fillId="0" borderId="0" xfId="0" applyFont="1"/>
    <xf numFmtId="166" fontId="38" fillId="38" borderId="51" xfId="0" applyNumberFormat="1" applyFont="1" applyFill="1" applyBorder="1" applyAlignment="1">
      <alignment horizontal="center" vertical="center"/>
    </xf>
    <xf numFmtId="9" fontId="38" fillId="38" borderId="44" xfId="42" applyFont="1" applyFill="1" applyBorder="1" applyAlignment="1">
      <alignment horizontal="center" vertical="center"/>
    </xf>
    <xf numFmtId="166" fontId="38" fillId="38" borderId="52" xfId="0" applyNumberFormat="1" applyFont="1" applyFill="1" applyBorder="1" applyAlignment="1">
      <alignment horizontal="center" vertical="center"/>
    </xf>
    <xf numFmtId="9" fontId="38" fillId="38" borderId="45" xfId="42" applyFont="1" applyFill="1" applyBorder="1" applyAlignment="1">
      <alignment horizontal="center" vertical="center"/>
    </xf>
    <xf numFmtId="166" fontId="38" fillId="38" borderId="45" xfId="0" applyNumberFormat="1" applyFont="1" applyFill="1" applyBorder="1" applyAlignment="1">
      <alignment horizontal="center" vertical="center"/>
    </xf>
    <xf numFmtId="9" fontId="38" fillId="38" borderId="46" xfId="42" applyFont="1" applyFill="1" applyBorder="1" applyAlignment="1">
      <alignment horizontal="center" vertical="center"/>
    </xf>
    <xf numFmtId="9" fontId="18" fillId="37" borderId="41" xfId="42" applyFont="1" applyFill="1" applyBorder="1" applyAlignment="1">
      <alignment horizontal="center" vertical="center"/>
    </xf>
    <xf numFmtId="9" fontId="25" fillId="39" borderId="58" xfId="42" applyFont="1" applyFill="1" applyBorder="1" applyAlignment="1">
      <alignment horizontal="center" vertical="center"/>
    </xf>
    <xf numFmtId="0" fontId="36" fillId="0" borderId="0" xfId="0" applyFont="1" applyBorder="1" applyAlignment="1">
      <alignment vertical="center" wrapText="1" readingOrder="1"/>
    </xf>
    <xf numFmtId="0" fontId="18" fillId="0" borderId="0" xfId="0" applyFont="1" applyAlignment="1">
      <alignment horizontal="left" indent="1"/>
    </xf>
    <xf numFmtId="0" fontId="0" fillId="0" borderId="0" xfId="0" applyAlignment="1">
      <alignment horizontal="left"/>
    </xf>
    <xf numFmtId="0" fontId="19" fillId="0" borderId="0" xfId="0" applyFont="1" applyAlignment="1">
      <alignment horizontal="left"/>
    </xf>
    <xf numFmtId="0" fontId="39" fillId="0" borderId="38" xfId="0" applyFont="1" applyBorder="1" applyAlignment="1">
      <alignment horizontal="center" wrapText="1"/>
    </xf>
    <xf numFmtId="0" fontId="39" fillId="0" borderId="0" xfId="0" applyFont="1" applyAlignment="1">
      <alignment horizontal="right"/>
    </xf>
    <xf numFmtId="166" fontId="38" fillId="38" borderId="86" xfId="0" applyNumberFormat="1" applyFont="1" applyFill="1" applyBorder="1" applyAlignment="1">
      <alignment horizontal="center" vertical="center"/>
    </xf>
    <xf numFmtId="166" fontId="18" fillId="37" borderId="84" xfId="0" applyNumberFormat="1" applyFont="1" applyFill="1" applyBorder="1" applyAlignment="1">
      <alignment horizontal="center" vertical="center"/>
    </xf>
    <xf numFmtId="166" fontId="38" fillId="38" borderId="87" xfId="0" applyNumberFormat="1" applyFont="1" applyFill="1" applyBorder="1" applyAlignment="1">
      <alignment horizontal="center" vertical="center"/>
    </xf>
    <xf numFmtId="9" fontId="20" fillId="37" borderId="41" xfId="42" applyFont="1" applyFill="1" applyBorder="1" applyAlignment="1">
      <alignment horizontal="center" vertical="center"/>
    </xf>
    <xf numFmtId="0" fontId="25" fillId="39" borderId="54" xfId="0" applyFont="1" applyFill="1" applyBorder="1" applyAlignment="1">
      <alignment horizontal="left" vertical="center" wrapText="1" readingOrder="1"/>
    </xf>
    <xf numFmtId="166" fontId="20" fillId="0" borderId="75" xfId="0" applyNumberFormat="1" applyFont="1" applyFill="1" applyBorder="1" applyAlignment="1">
      <alignment horizontal="center" vertical="center"/>
    </xf>
    <xf numFmtId="9" fontId="20" fillId="0" borderId="76" xfId="42" applyFont="1" applyFill="1" applyBorder="1" applyAlignment="1">
      <alignment horizontal="center" vertical="center"/>
    </xf>
    <xf numFmtId="0" fontId="38" fillId="38" borderId="80" xfId="0" applyFont="1" applyFill="1" applyBorder="1" applyAlignment="1">
      <alignment horizontal="left" vertical="center" wrapText="1" readingOrder="1"/>
    </xf>
    <xf numFmtId="166" fontId="38" fillId="38" borderId="80" xfId="0" applyNumberFormat="1" applyFont="1" applyFill="1" applyBorder="1" applyAlignment="1">
      <alignment horizontal="center" vertical="center"/>
    </xf>
    <xf numFmtId="0" fontId="25" fillId="39" borderId="72" xfId="0" applyFont="1" applyFill="1" applyBorder="1" applyAlignment="1">
      <alignment horizontal="left" vertical="center" wrapText="1" readingOrder="1"/>
    </xf>
    <xf numFmtId="0" fontId="0" fillId="37" borderId="0" xfId="0" applyFill="1"/>
    <xf numFmtId="3" fontId="38" fillId="38" borderId="81" xfId="0" applyNumberFormat="1" applyFont="1" applyFill="1" applyBorder="1" applyAlignment="1">
      <alignment horizontal="center" vertical="center"/>
    </xf>
    <xf numFmtId="0" fontId="25" fillId="39" borderId="57" xfId="0" applyFont="1" applyFill="1" applyBorder="1" applyAlignment="1">
      <alignment horizontal="left" vertical="center" wrapText="1" readingOrder="1"/>
    </xf>
    <xf numFmtId="166" fontId="40" fillId="39" borderId="57" xfId="0" applyNumberFormat="1" applyFont="1" applyFill="1" applyBorder="1" applyAlignment="1">
      <alignment horizontal="center" vertical="center"/>
    </xf>
    <xf numFmtId="3" fontId="40" fillId="39" borderId="58" xfId="0" applyNumberFormat="1" applyFont="1" applyFill="1" applyBorder="1" applyAlignment="1">
      <alignment horizontal="center" vertical="center"/>
    </xf>
    <xf numFmtId="0" fontId="25" fillId="39" borderId="47" xfId="0" applyFont="1" applyFill="1" applyBorder="1" applyAlignment="1">
      <alignment horizontal="left" vertical="center" wrapText="1" readingOrder="1"/>
    </xf>
    <xf numFmtId="166" fontId="25" fillId="39" borderId="47" xfId="0" applyNumberFormat="1" applyFont="1" applyFill="1" applyBorder="1" applyAlignment="1">
      <alignment horizontal="center" vertical="center"/>
    </xf>
    <xf numFmtId="3" fontId="25" fillId="39" borderId="83" xfId="0" applyNumberFormat="1" applyFont="1" applyFill="1" applyBorder="1" applyAlignment="1">
      <alignment horizontal="center" vertical="center"/>
    </xf>
    <xf numFmtId="0" fontId="20" fillId="0" borderId="61" xfId="0" applyFont="1" applyFill="1" applyBorder="1" applyAlignment="1">
      <alignment horizontal="left" vertical="center" wrapText="1" readingOrder="1"/>
    </xf>
    <xf numFmtId="166" fontId="20" fillId="0" borderId="61" xfId="0" applyNumberFormat="1" applyFont="1" applyFill="1" applyBorder="1" applyAlignment="1">
      <alignment horizontal="center" vertical="center"/>
    </xf>
    <xf numFmtId="3" fontId="20" fillId="0" borderId="62" xfId="0" applyNumberFormat="1" applyFont="1" applyFill="1" applyBorder="1" applyAlignment="1">
      <alignment horizontal="center" vertical="center"/>
    </xf>
    <xf numFmtId="0" fontId="20" fillId="0" borderId="54" xfId="0" applyFont="1" applyFill="1" applyBorder="1" applyAlignment="1">
      <alignment vertical="center" wrapText="1" readingOrder="1"/>
    </xf>
    <xf numFmtId="0" fontId="20" fillId="0" borderId="60" xfId="0" applyFont="1" applyFill="1" applyBorder="1" applyAlignment="1">
      <alignment horizontal="center" vertical="center" wrapText="1" readingOrder="1"/>
    </xf>
    <xf numFmtId="0" fontId="25" fillId="38" borderId="54" xfId="0" applyFont="1" applyFill="1" applyBorder="1" applyAlignment="1">
      <alignment horizontal="center" vertical="center" wrapText="1"/>
    </xf>
    <xf numFmtId="0" fontId="25" fillId="36" borderId="62" xfId="0" applyFont="1" applyFill="1" applyBorder="1" applyAlignment="1">
      <alignment horizontal="center" vertical="center" wrapText="1"/>
    </xf>
    <xf numFmtId="9" fontId="38" fillId="38" borderId="100" xfId="42" applyFont="1" applyFill="1" applyBorder="1" applyAlignment="1">
      <alignment horizontal="center" vertical="center"/>
    </xf>
    <xf numFmtId="9" fontId="38" fillId="38" borderId="101" xfId="42" applyFont="1" applyFill="1" applyBorder="1" applyAlignment="1">
      <alignment horizontal="center" vertical="center"/>
    </xf>
    <xf numFmtId="9" fontId="20" fillId="0" borderId="91" xfId="42" applyFont="1" applyFill="1" applyBorder="1" applyAlignment="1">
      <alignment horizontal="center" vertical="center"/>
    </xf>
    <xf numFmtId="166" fontId="38" fillId="38" borderId="44" xfId="0" applyNumberFormat="1" applyFont="1" applyFill="1" applyBorder="1" applyAlignment="1">
      <alignment horizontal="center" vertical="center"/>
    </xf>
    <xf numFmtId="0" fontId="20" fillId="0" borderId="54" xfId="0" applyFont="1" applyFill="1" applyBorder="1" applyAlignment="1">
      <alignment horizontal="center" vertical="center" wrapText="1" readingOrder="1"/>
    </xf>
    <xf numFmtId="0" fontId="38" fillId="38" borderId="46" xfId="0" applyFont="1" applyFill="1" applyBorder="1" applyAlignment="1">
      <alignment horizontal="left" vertical="center" wrapText="1" indent="1" readingOrder="1"/>
    </xf>
    <xf numFmtId="0" fontId="38" fillId="38" borderId="73" xfId="0" applyFont="1" applyFill="1" applyBorder="1" applyAlignment="1">
      <alignment horizontal="left" vertical="center" wrapText="1" indent="1" readingOrder="1"/>
    </xf>
    <xf numFmtId="0" fontId="35" fillId="0" borderId="76" xfId="0" applyFont="1" applyFill="1" applyBorder="1" applyAlignment="1">
      <alignment horizontal="left" vertical="center" wrapText="1" readingOrder="1"/>
    </xf>
    <xf numFmtId="0" fontId="25" fillId="39" borderId="58" xfId="0" applyFont="1" applyFill="1" applyBorder="1" applyAlignment="1">
      <alignment horizontal="left" vertical="center" wrapText="1" readingOrder="1"/>
    </xf>
    <xf numFmtId="0" fontId="20" fillId="0" borderId="62" xfId="0" applyFont="1" applyFill="1" applyBorder="1" applyAlignment="1">
      <alignment horizontal="left" vertical="center" wrapText="1" readingOrder="1"/>
    </xf>
    <xf numFmtId="166" fontId="38" fillId="35" borderId="106" xfId="0" applyNumberFormat="1" applyFont="1" applyFill="1" applyBorder="1" applyAlignment="1">
      <alignment horizontal="center" vertical="center"/>
    </xf>
    <xf numFmtId="9" fontId="38" fillId="35" borderId="25" xfId="42" applyFont="1" applyFill="1" applyBorder="1" applyAlignment="1">
      <alignment horizontal="center" vertical="center"/>
    </xf>
    <xf numFmtId="9" fontId="38" fillId="35" borderId="102" xfId="42" applyFont="1" applyFill="1" applyBorder="1" applyAlignment="1">
      <alignment horizontal="center" vertical="center"/>
    </xf>
    <xf numFmtId="169" fontId="38" fillId="35" borderId="25" xfId="42" applyNumberFormat="1" applyFont="1" applyFill="1" applyBorder="1" applyAlignment="1">
      <alignment horizontal="center" vertical="center"/>
    </xf>
    <xf numFmtId="169" fontId="38" fillId="35" borderId="93" xfId="42" applyNumberFormat="1" applyFont="1" applyFill="1" applyBorder="1" applyAlignment="1">
      <alignment horizontal="center" vertical="center"/>
    </xf>
    <xf numFmtId="9" fontId="38" fillId="35" borderId="93" xfId="42" applyFont="1" applyFill="1" applyBorder="1" applyAlignment="1">
      <alignment horizontal="center" vertical="center"/>
    </xf>
    <xf numFmtId="0" fontId="38" fillId="35" borderId="102" xfId="0" applyFont="1" applyFill="1" applyBorder="1" applyAlignment="1">
      <alignment horizontal="left" vertical="center" wrapText="1" readingOrder="1"/>
    </xf>
    <xf numFmtId="0" fontId="25" fillId="39" borderId="59" xfId="0" applyFont="1" applyFill="1" applyBorder="1" applyAlignment="1">
      <alignment horizontal="left" vertical="center" wrapText="1" readingOrder="1"/>
    </xf>
    <xf numFmtId="0" fontId="25" fillId="39" borderId="94" xfId="0" applyFont="1" applyFill="1" applyBorder="1" applyAlignment="1">
      <alignment horizontal="left" vertical="center" wrapText="1" readingOrder="1"/>
    </xf>
    <xf numFmtId="0" fontId="25" fillId="39" borderId="62" xfId="0" applyFont="1" applyFill="1" applyBorder="1" applyAlignment="1">
      <alignment horizontal="left" vertical="center" wrapText="1" readingOrder="1"/>
    </xf>
    <xf numFmtId="166" fontId="25" fillId="39" borderId="60" xfId="0" applyNumberFormat="1" applyFont="1" applyFill="1" applyBorder="1" applyAlignment="1">
      <alignment horizontal="center" vertical="center"/>
    </xf>
    <xf numFmtId="9" fontId="25" fillId="39" borderId="71" xfId="42" applyFont="1" applyFill="1" applyBorder="1" applyAlignment="1">
      <alignment horizontal="center" vertical="center"/>
    </xf>
    <xf numFmtId="166" fontId="25" fillId="39" borderId="61" xfId="0" applyNumberFormat="1" applyFont="1" applyFill="1" applyBorder="1" applyAlignment="1">
      <alignment horizontal="center" vertical="center"/>
    </xf>
    <xf numFmtId="166" fontId="18" fillId="0" borderId="74" xfId="0" applyNumberFormat="1" applyFont="1" applyFill="1" applyBorder="1" applyAlignment="1">
      <alignment horizontal="center" vertical="center"/>
    </xf>
    <xf numFmtId="166" fontId="18" fillId="0" borderId="75" xfId="0" applyNumberFormat="1" applyFont="1" applyFill="1" applyBorder="1" applyAlignment="1">
      <alignment horizontal="center" vertical="center"/>
    </xf>
    <xf numFmtId="0" fontId="35" fillId="0" borderId="75" xfId="0" applyFont="1" applyFill="1" applyBorder="1" applyAlignment="1">
      <alignment horizontal="left" vertical="center" wrapText="1" readingOrder="1"/>
    </xf>
    <xf numFmtId="3" fontId="20" fillId="0" borderId="76" xfId="0" applyNumberFormat="1" applyFont="1" applyFill="1" applyBorder="1" applyAlignment="1">
      <alignment horizontal="center" vertical="center"/>
    </xf>
    <xf numFmtId="0" fontId="35" fillId="40" borderId="64" xfId="0" applyFont="1" applyFill="1" applyBorder="1" applyAlignment="1">
      <alignment horizontal="left" vertical="center" wrapText="1" readingOrder="1"/>
    </xf>
    <xf numFmtId="166" fontId="20" fillId="40" borderId="64" xfId="0" applyNumberFormat="1" applyFont="1" applyFill="1" applyBorder="1" applyAlignment="1">
      <alignment horizontal="center" vertical="center"/>
    </xf>
    <xf numFmtId="3" fontId="20" fillId="40" borderId="78" xfId="0" applyNumberFormat="1" applyFont="1" applyFill="1" applyBorder="1" applyAlignment="1">
      <alignment horizontal="center" vertical="center"/>
    </xf>
    <xf numFmtId="0" fontId="35" fillId="37" borderId="88" xfId="0" applyFont="1" applyFill="1" applyBorder="1" applyAlignment="1">
      <alignment horizontal="left" vertical="center" wrapText="1" readingOrder="1"/>
    </xf>
    <xf numFmtId="166" fontId="18" fillId="37" borderId="88" xfId="0" applyNumberFormat="1" applyFont="1" applyFill="1" applyBorder="1" applyAlignment="1">
      <alignment horizontal="center" vertical="center"/>
    </xf>
    <xf numFmtId="3" fontId="18" fillId="37" borderId="89" xfId="0" applyNumberFormat="1" applyFont="1" applyFill="1" applyBorder="1" applyAlignment="1">
      <alignment horizontal="center" vertical="center"/>
    </xf>
    <xf numFmtId="166" fontId="18" fillId="40" borderId="64" xfId="0" applyNumberFormat="1" applyFont="1" applyFill="1" applyBorder="1" applyAlignment="1">
      <alignment horizontal="center" vertical="center"/>
    </xf>
    <xf numFmtId="3" fontId="18" fillId="40" borderId="78" xfId="0" applyNumberFormat="1" applyFont="1" applyFill="1" applyBorder="1" applyAlignment="1">
      <alignment horizontal="center" vertical="center"/>
    </xf>
    <xf numFmtId="0" fontId="35" fillId="37" borderId="41" xfId="0" applyFont="1" applyFill="1" applyBorder="1" applyAlignment="1">
      <alignment horizontal="left" vertical="center" wrapText="1" readingOrder="1"/>
    </xf>
    <xf numFmtId="166" fontId="20" fillId="37" borderId="49" xfId="0" applyNumberFormat="1" applyFont="1" applyFill="1" applyBorder="1" applyAlignment="1">
      <alignment horizontal="center" vertical="center"/>
    </xf>
    <xf numFmtId="9" fontId="20" fillId="37" borderId="98" xfId="42" applyFont="1" applyFill="1" applyBorder="1" applyAlignment="1">
      <alignment horizontal="center" vertical="center"/>
    </xf>
    <xf numFmtId="166" fontId="20" fillId="37" borderId="40" xfId="0" applyNumberFormat="1" applyFont="1" applyFill="1" applyBorder="1" applyAlignment="1">
      <alignment horizontal="center" vertical="center"/>
    </xf>
    <xf numFmtId="9" fontId="20" fillId="37" borderId="40" xfId="42" applyFont="1" applyFill="1" applyBorder="1" applyAlignment="1">
      <alignment horizontal="center" vertical="center"/>
    </xf>
    <xf numFmtId="166" fontId="20" fillId="37" borderId="84" xfId="0" applyNumberFormat="1" applyFont="1" applyFill="1" applyBorder="1" applyAlignment="1">
      <alignment horizontal="center" vertical="center"/>
    </xf>
    <xf numFmtId="0" fontId="35" fillId="37" borderId="76" xfId="0" applyFont="1" applyFill="1" applyBorder="1" applyAlignment="1">
      <alignment horizontal="left" vertical="center" wrapText="1" readingOrder="1"/>
    </xf>
    <xf numFmtId="166" fontId="20" fillId="37" borderId="74" xfId="0" applyNumberFormat="1" applyFont="1" applyFill="1" applyBorder="1" applyAlignment="1">
      <alignment horizontal="center" vertical="center"/>
    </xf>
    <xf numFmtId="9" fontId="20" fillId="37" borderId="91" xfId="42" applyFont="1" applyFill="1" applyBorder="1" applyAlignment="1">
      <alignment horizontal="center" vertical="center"/>
    </xf>
    <xf numFmtId="166" fontId="20" fillId="37" borderId="75" xfId="0" applyNumberFormat="1" applyFont="1" applyFill="1" applyBorder="1" applyAlignment="1">
      <alignment horizontal="center" vertical="center"/>
    </xf>
    <xf numFmtId="9" fontId="20" fillId="37" borderId="75" xfId="42" applyFont="1" applyFill="1" applyBorder="1" applyAlignment="1">
      <alignment horizontal="center" vertical="center"/>
    </xf>
    <xf numFmtId="9" fontId="20" fillId="37" borderId="76" xfId="42" applyFont="1" applyFill="1" applyBorder="1" applyAlignment="1">
      <alignment horizontal="center" vertical="center"/>
    </xf>
    <xf numFmtId="166" fontId="20" fillId="37" borderId="72" xfId="0" applyNumberFormat="1" applyFont="1" applyFill="1" applyBorder="1" applyAlignment="1">
      <alignment horizontal="center" vertical="center"/>
    </xf>
    <xf numFmtId="9" fontId="18" fillId="37" borderId="62" xfId="42" applyFont="1" applyFill="1" applyBorder="1" applyAlignment="1">
      <alignment horizontal="center" vertical="center"/>
    </xf>
    <xf numFmtId="0" fontId="35" fillId="40" borderId="78" xfId="0" applyFont="1" applyFill="1" applyBorder="1" applyAlignment="1">
      <alignment horizontal="left" vertical="center" wrapText="1" readingOrder="1"/>
    </xf>
    <xf numFmtId="166" fontId="20" fillId="40" borderId="77" xfId="0" applyNumberFormat="1" applyFont="1" applyFill="1" applyBorder="1" applyAlignment="1">
      <alignment horizontal="center" vertical="center"/>
    </xf>
    <xf numFmtId="9" fontId="20" fillId="40" borderId="67" xfId="42" applyFont="1" applyFill="1" applyBorder="1" applyAlignment="1">
      <alignment horizontal="center" vertical="center"/>
    </xf>
    <xf numFmtId="9" fontId="20" fillId="40" borderId="64" xfId="42" applyFont="1" applyFill="1" applyBorder="1" applyAlignment="1">
      <alignment horizontal="center" vertical="center"/>
    </xf>
    <xf numFmtId="9" fontId="20" fillId="40" borderId="78" xfId="42" applyFont="1" applyFill="1" applyBorder="1" applyAlignment="1">
      <alignment horizontal="center" vertical="center"/>
    </xf>
    <xf numFmtId="166" fontId="20" fillId="40" borderId="28" xfId="0" applyNumberFormat="1" applyFont="1" applyFill="1" applyBorder="1" applyAlignment="1">
      <alignment horizontal="center" vertical="center"/>
    </xf>
    <xf numFmtId="9" fontId="18" fillId="40" borderId="58" xfId="42" applyFont="1" applyFill="1" applyBorder="1" applyAlignment="1">
      <alignment horizontal="center" vertical="center"/>
    </xf>
    <xf numFmtId="0" fontId="35" fillId="40" borderId="109" xfId="0" applyFont="1" applyFill="1" applyBorder="1" applyAlignment="1">
      <alignment horizontal="left" vertical="center" wrapText="1" readingOrder="1"/>
    </xf>
    <xf numFmtId="166" fontId="18" fillId="40" borderId="107" xfId="0" applyNumberFormat="1" applyFont="1" applyFill="1" applyBorder="1" applyAlignment="1">
      <alignment horizontal="center" vertical="center"/>
    </xf>
    <xf numFmtId="9" fontId="20" fillId="40" borderId="110" xfId="42" applyFont="1" applyFill="1" applyBorder="1" applyAlignment="1">
      <alignment horizontal="center" vertical="center"/>
    </xf>
    <xf numFmtId="166" fontId="18" fillId="40" borderId="108" xfId="0" applyNumberFormat="1" applyFont="1" applyFill="1" applyBorder="1" applyAlignment="1">
      <alignment horizontal="center" vertical="center"/>
    </xf>
    <xf numFmtId="9" fontId="20" fillId="40" borderId="109" xfId="42" applyFont="1" applyFill="1" applyBorder="1" applyAlignment="1">
      <alignment horizontal="center" vertical="center"/>
    </xf>
    <xf numFmtId="166" fontId="18" fillId="40" borderId="85" xfId="0" applyNumberFormat="1" applyFont="1" applyFill="1" applyBorder="1" applyAlignment="1">
      <alignment horizontal="center" vertical="center"/>
    </xf>
    <xf numFmtId="9" fontId="18" fillId="40" borderId="43" xfId="42" applyFont="1" applyFill="1" applyBorder="1" applyAlignment="1">
      <alignment horizontal="center" vertical="center"/>
    </xf>
    <xf numFmtId="0" fontId="35" fillId="40" borderId="43" xfId="0" applyFont="1" applyFill="1" applyBorder="1" applyAlignment="1">
      <alignment horizontal="left" vertical="center" wrapText="1" readingOrder="1"/>
    </xf>
    <xf numFmtId="166" fontId="20" fillId="40" borderId="50" xfId="0" applyNumberFormat="1" applyFont="1" applyFill="1" applyBorder="1" applyAlignment="1">
      <alignment horizontal="center" vertical="center"/>
    </xf>
    <xf numFmtId="9" fontId="20" fillId="40" borderId="99" xfId="42" applyFont="1" applyFill="1" applyBorder="1" applyAlignment="1">
      <alignment horizontal="center" vertical="center"/>
    </xf>
    <xf numFmtId="166" fontId="20" fillId="40" borderId="42" xfId="0" applyNumberFormat="1" applyFont="1" applyFill="1" applyBorder="1" applyAlignment="1">
      <alignment horizontal="center" vertical="center"/>
    </xf>
    <xf numFmtId="9" fontId="20" fillId="40" borderId="42" xfId="42" applyFont="1" applyFill="1" applyBorder="1" applyAlignment="1">
      <alignment horizontal="center" vertical="center"/>
    </xf>
    <xf numFmtId="9" fontId="20" fillId="40" borderId="43" xfId="42" applyFont="1" applyFill="1" applyBorder="1" applyAlignment="1">
      <alignment horizontal="center" vertical="center"/>
    </xf>
    <xf numFmtId="166" fontId="20" fillId="40" borderId="85" xfId="0" applyNumberFormat="1" applyFont="1" applyFill="1" applyBorder="1" applyAlignment="1">
      <alignment horizontal="center" vertical="center"/>
    </xf>
    <xf numFmtId="168" fontId="30" fillId="0" borderId="0" xfId="44" applyNumberFormat="1" applyFont="1"/>
    <xf numFmtId="168" fontId="0" fillId="0" borderId="0" xfId="44" applyNumberFormat="1" applyFont="1"/>
    <xf numFmtId="168" fontId="19" fillId="37" borderId="0" xfId="44" applyNumberFormat="1" applyFont="1" applyFill="1" applyBorder="1" applyAlignment="1">
      <alignment horizontal="center" vertical="center"/>
    </xf>
    <xf numFmtId="9" fontId="38" fillId="38" borderId="73" xfId="42" applyFont="1" applyFill="1" applyBorder="1" applyAlignment="1">
      <alignment horizontal="center" vertical="center"/>
    </xf>
    <xf numFmtId="9" fontId="25" fillId="39" borderId="62" xfId="42" applyFont="1" applyFill="1" applyBorder="1" applyAlignment="1">
      <alignment horizontal="center" vertical="center"/>
    </xf>
    <xf numFmtId="168" fontId="20" fillId="37" borderId="49" xfId="44" applyNumberFormat="1" applyFont="1" applyFill="1" applyBorder="1" applyAlignment="1">
      <alignment horizontal="center" vertical="center"/>
    </xf>
    <xf numFmtId="168" fontId="20" fillId="40" borderId="50" xfId="44" applyNumberFormat="1" applyFont="1" applyFill="1" applyBorder="1" applyAlignment="1">
      <alignment horizontal="center" vertical="center"/>
    </xf>
    <xf numFmtId="168" fontId="38" fillId="38" borderId="52" xfId="44" applyNumberFormat="1" applyFont="1" applyFill="1" applyBorder="1" applyAlignment="1">
      <alignment horizontal="center" vertical="center"/>
    </xf>
    <xf numFmtId="168" fontId="38" fillId="38" borderId="51" xfId="44" applyNumberFormat="1" applyFont="1" applyFill="1" applyBorder="1" applyAlignment="1">
      <alignment horizontal="center" vertical="center"/>
    </xf>
    <xf numFmtId="168" fontId="25" fillId="39" borderId="60" xfId="44" applyNumberFormat="1" applyFont="1" applyFill="1" applyBorder="1" applyAlignment="1">
      <alignment horizontal="center" vertical="center"/>
    </xf>
    <xf numFmtId="168" fontId="18" fillId="0" borderId="74" xfId="44" applyNumberFormat="1" applyFont="1" applyFill="1" applyBorder="1" applyAlignment="1">
      <alignment horizontal="center" vertical="center"/>
    </xf>
    <xf numFmtId="168" fontId="18" fillId="40" borderId="107" xfId="44" applyNumberFormat="1" applyFont="1" applyFill="1" applyBorder="1" applyAlignment="1">
      <alignment horizontal="center" vertical="center"/>
    </xf>
    <xf numFmtId="168" fontId="20" fillId="37" borderId="74" xfId="44" applyNumberFormat="1" applyFont="1" applyFill="1" applyBorder="1" applyAlignment="1">
      <alignment horizontal="center" vertical="center"/>
    </xf>
    <xf numFmtId="168" fontId="20" fillId="40" borderId="77" xfId="44" applyNumberFormat="1" applyFont="1" applyFill="1" applyBorder="1" applyAlignment="1">
      <alignment horizontal="center" vertical="center"/>
    </xf>
    <xf numFmtId="168" fontId="38" fillId="35" borderId="106" xfId="44" applyNumberFormat="1" applyFont="1" applyFill="1" applyBorder="1" applyAlignment="1">
      <alignment horizontal="center" vertical="center"/>
    </xf>
    <xf numFmtId="0" fontId="28" fillId="0" borderId="25" xfId="0" applyFont="1" applyFill="1" applyBorder="1" applyAlignment="1">
      <alignment horizontal="left" vertical="center" wrapText="1"/>
    </xf>
    <xf numFmtId="0" fontId="18" fillId="0" borderId="0" xfId="0" applyFont="1" applyAlignment="1">
      <alignment vertical="center"/>
    </xf>
    <xf numFmtId="0" fontId="42" fillId="0" borderId="0" xfId="0" applyFont="1"/>
    <xf numFmtId="0" fontId="25" fillId="39" borderId="17" xfId="0" applyFont="1" applyFill="1" applyBorder="1" applyAlignment="1">
      <alignment horizontal="left" vertical="center" wrapText="1" readingOrder="1"/>
    </xf>
    <xf numFmtId="0" fontId="25" fillId="39" borderId="16" xfId="0" applyFont="1" applyFill="1" applyBorder="1" applyAlignment="1">
      <alignment horizontal="left" vertical="center" wrapText="1" readingOrder="1"/>
    </xf>
    <xf numFmtId="0" fontId="34"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53" xfId="0" applyFont="1" applyBorder="1" applyAlignment="1">
      <alignment horizontal="left" vertical="top" wrapText="1"/>
    </xf>
    <xf numFmtId="0" fontId="35" fillId="37" borderId="55" xfId="0" applyFont="1" applyFill="1" applyBorder="1" applyAlignment="1">
      <alignment horizontal="center" vertical="center" wrapText="1" readingOrder="1"/>
    </xf>
    <xf numFmtId="0" fontId="35" fillId="37" borderId="56" xfId="0" applyFont="1" applyFill="1" applyBorder="1" applyAlignment="1">
      <alignment horizontal="center" vertical="center" wrapText="1" readingOrder="1"/>
    </xf>
    <xf numFmtId="0" fontId="35" fillId="37" borderId="95" xfId="0" applyFont="1" applyFill="1" applyBorder="1" applyAlignment="1">
      <alignment horizontal="center" vertical="center" wrapText="1" readingOrder="1"/>
    </xf>
    <xf numFmtId="0" fontId="35" fillId="37" borderId="17" xfId="0" applyFont="1" applyFill="1" applyBorder="1" applyAlignment="1">
      <alignment horizontal="center" vertical="center" wrapText="1" readingOrder="1"/>
    </xf>
    <xf numFmtId="0" fontId="35" fillId="37" borderId="18" xfId="0" applyFont="1" applyFill="1" applyBorder="1" applyAlignment="1">
      <alignment horizontal="center" vertical="center" wrapText="1" readingOrder="1"/>
    </xf>
    <xf numFmtId="0" fontId="35" fillId="37" borderId="15" xfId="0" applyFont="1" applyFill="1" applyBorder="1" applyAlignment="1">
      <alignment horizontal="center" vertical="center" wrapText="1" readingOrder="1"/>
    </xf>
    <xf numFmtId="0" fontId="35" fillId="37" borderId="90" xfId="0" applyFont="1" applyFill="1" applyBorder="1" applyAlignment="1">
      <alignment horizontal="center" vertical="center" wrapText="1" readingOrder="1"/>
    </xf>
    <xf numFmtId="0" fontId="35" fillId="37" borderId="96" xfId="0" applyFont="1" applyFill="1" applyBorder="1" applyAlignment="1">
      <alignment horizontal="center" vertical="center" wrapText="1" readingOrder="1"/>
    </xf>
    <xf numFmtId="0" fontId="35" fillId="37" borderId="97" xfId="0" applyFont="1" applyFill="1" applyBorder="1" applyAlignment="1">
      <alignment horizontal="center" vertical="center" wrapText="1" readingOrder="1"/>
    </xf>
    <xf numFmtId="0" fontId="0" fillId="0" borderId="0" xfId="0" applyBorder="1" applyAlignment="1">
      <alignment horizontal="center"/>
    </xf>
    <xf numFmtId="0" fontId="34" fillId="0" borderId="0" xfId="0" applyFont="1" applyAlignment="1">
      <alignment horizontal="left" vertical="top" wrapText="1"/>
    </xf>
    <xf numFmtId="0" fontId="36" fillId="0" borderId="79" xfId="0" applyFont="1" applyBorder="1" applyAlignment="1">
      <alignment horizontal="right" vertical="top" wrapText="1" readingOrder="1"/>
    </xf>
    <xf numFmtId="0" fontId="36" fillId="0" borderId="80" xfId="0" applyFont="1" applyBorder="1" applyAlignment="1">
      <alignment horizontal="right" vertical="top" wrapText="1" readingOrder="1"/>
    </xf>
    <xf numFmtId="167" fontId="18" fillId="37" borderId="80" xfId="43" applyNumberFormat="1" applyFont="1" applyFill="1" applyBorder="1" applyAlignment="1">
      <alignment horizontal="center" vertical="center"/>
    </xf>
    <xf numFmtId="167" fontId="18" fillId="37" borderId="112" xfId="43" applyNumberFormat="1" applyFont="1" applyFill="1" applyBorder="1" applyAlignment="1">
      <alignment horizontal="center" vertical="center"/>
    </xf>
    <xf numFmtId="167" fontId="18" fillId="37" borderId="81" xfId="43" applyNumberFormat="1" applyFont="1" applyFill="1" applyBorder="1" applyAlignment="1">
      <alignment horizontal="center" vertical="center"/>
    </xf>
    <xf numFmtId="0" fontId="36" fillId="0" borderId="77" xfId="0" applyFont="1" applyBorder="1" applyAlignment="1">
      <alignment horizontal="right" vertical="top" wrapText="1" readingOrder="1"/>
    </xf>
    <xf numFmtId="0" fontId="36" fillId="0" borderId="64" xfId="0" applyFont="1" applyBorder="1" applyAlignment="1">
      <alignment horizontal="right" vertical="top" wrapText="1" readingOrder="1"/>
    </xf>
    <xf numFmtId="167" fontId="18" fillId="37" borderId="64" xfId="43" applyNumberFormat="1" applyFont="1" applyFill="1" applyBorder="1" applyAlignment="1">
      <alignment horizontal="center" vertical="center"/>
    </xf>
    <xf numFmtId="167" fontId="18" fillId="37" borderId="68" xfId="43" applyNumberFormat="1" applyFont="1" applyFill="1" applyBorder="1" applyAlignment="1">
      <alignment horizontal="center" vertical="center"/>
    </xf>
    <xf numFmtId="167" fontId="18" fillId="37" borderId="78" xfId="43" applyNumberFormat="1" applyFont="1" applyFill="1" applyBorder="1" applyAlignment="1">
      <alignment horizontal="center" vertical="center"/>
    </xf>
    <xf numFmtId="0" fontId="36" fillId="0" borderId="74" xfId="0" applyFont="1" applyBorder="1" applyAlignment="1">
      <alignment horizontal="right" vertical="top" wrapText="1" readingOrder="1"/>
    </xf>
    <xf numFmtId="0" fontId="36" fillId="0" borderId="75" xfId="0" applyFont="1" applyBorder="1" applyAlignment="1">
      <alignment horizontal="right" vertical="top" wrapText="1" readingOrder="1"/>
    </xf>
    <xf numFmtId="167" fontId="18" fillId="37" borderId="75" xfId="43" applyNumberFormat="1" applyFont="1" applyFill="1" applyBorder="1" applyAlignment="1">
      <alignment horizontal="center" vertical="center"/>
    </xf>
    <xf numFmtId="167" fontId="18" fillId="37" borderId="111" xfId="43" applyNumberFormat="1" applyFont="1" applyFill="1" applyBorder="1" applyAlignment="1">
      <alignment horizontal="center" vertical="center"/>
    </xf>
    <xf numFmtId="167" fontId="18" fillId="37" borderId="76" xfId="43" applyNumberFormat="1" applyFont="1" applyFill="1" applyBorder="1" applyAlignment="1">
      <alignment horizontal="center" vertical="center"/>
    </xf>
    <xf numFmtId="166" fontId="20" fillId="0" borderId="54" xfId="0" applyNumberFormat="1" applyFont="1" applyFill="1" applyBorder="1" applyAlignment="1">
      <alignment horizontal="center" vertical="center"/>
    </xf>
    <xf numFmtId="166" fontId="20" fillId="0" borderId="82" xfId="0" applyNumberFormat="1" applyFont="1" applyFill="1" applyBorder="1" applyAlignment="1">
      <alignment horizontal="center" vertical="center"/>
    </xf>
    <xf numFmtId="0" fontId="25" fillId="39" borderId="15" xfId="0" applyFont="1" applyFill="1" applyBorder="1" applyAlignment="1">
      <alignment horizontal="left" vertical="center" wrapText="1" readingOrder="1"/>
    </xf>
    <xf numFmtId="0" fontId="25" fillId="39" borderId="11" xfId="0" applyFont="1" applyFill="1" applyBorder="1" applyAlignment="1">
      <alignment horizontal="left" vertical="center" wrapText="1" readingOrder="1"/>
    </xf>
    <xf numFmtId="166" fontId="25" fillId="39" borderId="54" xfId="0" applyNumberFormat="1" applyFont="1" applyFill="1" applyBorder="1" applyAlignment="1">
      <alignment horizontal="center" vertical="center"/>
    </xf>
    <xf numFmtId="166" fontId="25" fillId="39" borderId="82" xfId="0" applyNumberFormat="1" applyFont="1" applyFill="1" applyBorder="1" applyAlignment="1">
      <alignment horizontal="center" vertical="center"/>
    </xf>
    <xf numFmtId="0" fontId="35" fillId="37" borderId="24" xfId="0" applyFont="1" applyFill="1" applyBorder="1" applyAlignment="1">
      <alignment horizontal="center" vertical="center" wrapText="1" readingOrder="1"/>
    </xf>
    <xf numFmtId="0" fontId="35" fillId="37" borderId="26" xfId="0" applyFont="1" applyFill="1" applyBorder="1" applyAlignment="1">
      <alignment horizontal="center" vertical="center" wrapText="1" readingOrder="1"/>
    </xf>
    <xf numFmtId="0" fontId="27" fillId="0" borderId="0" xfId="0" applyFont="1" applyAlignment="1">
      <alignment horizontal="left" wrapText="1"/>
    </xf>
    <xf numFmtId="0" fontId="25" fillId="39" borderId="17" xfId="0" applyFont="1" applyFill="1" applyBorder="1" applyAlignment="1">
      <alignment horizontal="center" vertical="center" wrapText="1"/>
    </xf>
    <xf numFmtId="0" fontId="25" fillId="39" borderId="48" xfId="0" applyFont="1" applyFill="1" applyBorder="1" applyAlignment="1">
      <alignment horizontal="center" vertical="center" wrapText="1"/>
    </xf>
    <xf numFmtId="0" fontId="25" fillId="35" borderId="17" xfId="0" applyFont="1" applyFill="1" applyBorder="1" applyAlignment="1">
      <alignment horizontal="center" vertical="center" wrapText="1"/>
    </xf>
    <xf numFmtId="0" fontId="25" fillId="35" borderId="48" xfId="0" applyFont="1" applyFill="1" applyBorder="1" applyAlignment="1">
      <alignment horizontal="center" vertical="center" wrapText="1"/>
    </xf>
    <xf numFmtId="167" fontId="18" fillId="37" borderId="92" xfId="43" applyNumberFormat="1" applyFont="1" applyFill="1" applyBorder="1" applyAlignment="1">
      <alignment horizontal="center" vertical="center"/>
    </xf>
    <xf numFmtId="167" fontId="18" fillId="37" borderId="105" xfId="43" applyNumberFormat="1" applyFont="1" applyFill="1" applyBorder="1" applyAlignment="1">
      <alignment horizontal="center" vertical="center"/>
    </xf>
    <xf numFmtId="167" fontId="18" fillId="37" borderId="69" xfId="43" applyNumberFormat="1" applyFont="1" applyFill="1" applyBorder="1" applyAlignment="1">
      <alignment horizontal="center" vertical="center"/>
    </xf>
    <xf numFmtId="167" fontId="18" fillId="37" borderId="66" xfId="43" applyNumberFormat="1" applyFont="1" applyFill="1" applyBorder="1" applyAlignment="1">
      <alignment horizontal="center" vertical="center"/>
    </xf>
    <xf numFmtId="167" fontId="18" fillId="37" borderId="67" xfId="43" applyNumberFormat="1" applyFont="1" applyFill="1" applyBorder="1" applyAlignment="1">
      <alignment horizontal="center" vertical="center"/>
    </xf>
    <xf numFmtId="167" fontId="18" fillId="37" borderId="104" xfId="43" applyNumberFormat="1" applyFont="1" applyFill="1" applyBorder="1" applyAlignment="1">
      <alignment horizontal="center" vertical="center"/>
    </xf>
    <xf numFmtId="167" fontId="18" fillId="37" borderId="65" xfId="43" applyNumberFormat="1" applyFont="1" applyFill="1" applyBorder="1" applyAlignment="1">
      <alignment horizontal="center" vertical="center"/>
    </xf>
    <xf numFmtId="167" fontId="18" fillId="37" borderId="91" xfId="43" applyNumberFormat="1" applyFont="1" applyFill="1" applyBorder="1" applyAlignment="1">
      <alignment horizontal="center" vertical="center"/>
    </xf>
    <xf numFmtId="167" fontId="18" fillId="37" borderId="103" xfId="43" applyNumberFormat="1" applyFont="1" applyFill="1" applyBorder="1" applyAlignment="1">
      <alignment horizontal="center" vertical="center"/>
    </xf>
    <xf numFmtId="167" fontId="18" fillId="37" borderId="70" xfId="43" applyNumberFormat="1" applyFont="1" applyFill="1" applyBorder="1" applyAlignment="1">
      <alignment horizontal="center" vertical="center"/>
    </xf>
    <xf numFmtId="167" fontId="18" fillId="37" borderId="63" xfId="43" applyNumberFormat="1" applyFont="1" applyFill="1" applyBorder="1" applyAlignment="1">
      <alignment horizontal="center" vertical="center"/>
    </xf>
    <xf numFmtId="166" fontId="25" fillId="39" borderId="94" xfId="0" applyNumberFormat="1" applyFont="1" applyFill="1" applyBorder="1" applyAlignment="1">
      <alignment horizontal="center" vertical="center"/>
    </xf>
    <xf numFmtId="166" fontId="25" fillId="39" borderId="71" xfId="0" applyNumberFormat="1" applyFont="1" applyFill="1" applyBorder="1" applyAlignment="1">
      <alignment horizontal="center" vertical="center"/>
    </xf>
    <xf numFmtId="166" fontId="20" fillId="0" borderId="71" xfId="0" applyNumberFormat="1" applyFont="1" applyFill="1" applyBorder="1" applyAlignment="1">
      <alignment horizontal="center" vertical="center"/>
    </xf>
    <xf numFmtId="166" fontId="20" fillId="0" borderId="72" xfId="0" applyNumberFormat="1" applyFont="1" applyFill="1" applyBorder="1" applyAlignment="1">
      <alignment horizontal="center" vertical="center"/>
    </xf>
    <xf numFmtId="0" fontId="25" fillId="38" borderId="17" xfId="0" applyFont="1" applyFill="1" applyBorder="1" applyAlignment="1">
      <alignment horizontal="center" vertical="center" wrapText="1"/>
    </xf>
    <xf numFmtId="0" fontId="25" fillId="38" borderId="16" xfId="0" applyFont="1" applyFill="1" applyBorder="1" applyAlignment="1">
      <alignment horizontal="center" vertical="center" wrapText="1"/>
    </xf>
    <xf numFmtId="0" fontId="25" fillId="36" borderId="47" xfId="0" applyFont="1" applyFill="1" applyBorder="1" applyAlignment="1">
      <alignment horizontal="center" vertical="center" wrapText="1"/>
    </xf>
    <xf numFmtId="0" fontId="25" fillId="36" borderId="23" xfId="0" applyFont="1" applyFill="1" applyBorder="1" applyAlignment="1">
      <alignment horizontal="center" vertical="center" wrapText="1"/>
    </xf>
    <xf numFmtId="0" fontId="41" fillId="35" borderId="47" xfId="0" applyFont="1" applyFill="1" applyBorder="1" applyAlignment="1">
      <alignment horizontal="center" vertical="center" wrapText="1"/>
    </xf>
    <xf numFmtId="0" fontId="25" fillId="36" borderId="71" xfId="0" applyFont="1" applyFill="1" applyBorder="1" applyAlignment="1">
      <alignment horizontal="center" vertical="center" wrapText="1"/>
    </xf>
    <xf numFmtId="0" fontId="25" fillId="36" borderId="82" xfId="0" applyFont="1" applyFill="1" applyBorder="1" applyAlignment="1">
      <alignment horizontal="center" vertical="center" wrapText="1"/>
    </xf>
    <xf numFmtId="0" fontId="25" fillId="35" borderId="16" xfId="0" applyFont="1" applyFill="1" applyBorder="1" applyAlignment="1">
      <alignment horizontal="center" vertical="center" wrapText="1"/>
    </xf>
    <xf numFmtId="166" fontId="20" fillId="0" borderId="94" xfId="0" applyNumberFormat="1" applyFont="1" applyFill="1" applyBorder="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top" wrapText="1" indent="1"/>
    </xf>
    <xf numFmtId="0" fontId="18" fillId="0" borderId="0" xfId="0" applyFont="1" applyAlignment="1">
      <alignment horizontal="left" wrapText="1" indent="1"/>
    </xf>
    <xf numFmtId="0" fontId="18" fillId="0" borderId="0" xfId="0" applyFont="1" applyAlignment="1">
      <alignment horizontal="left" indent="1"/>
    </xf>
    <xf numFmtId="0" fontId="18" fillId="0" borderId="0" xfId="0" quotePrefix="1" applyFont="1" applyAlignment="1">
      <alignment horizontal="left" vertical="top" wrapText="1" indent="1"/>
    </xf>
    <xf numFmtId="0" fontId="35" fillId="37" borderId="113" xfId="0" applyFont="1" applyFill="1" applyBorder="1" applyAlignment="1">
      <alignment horizontal="center" vertical="center" wrapText="1" readingOrder="1"/>
    </xf>
    <xf numFmtId="0" fontId="35" fillId="37" borderId="114" xfId="0" applyFont="1" applyFill="1" applyBorder="1" applyAlignment="1">
      <alignment horizontal="center" vertical="center" wrapText="1" readingOrder="1"/>
    </xf>
    <xf numFmtId="0" fontId="35" fillId="37" borderId="115" xfId="0" applyFont="1" applyFill="1" applyBorder="1" applyAlignment="1">
      <alignment horizontal="center" vertical="center" wrapText="1" readingOrder="1"/>
    </xf>
    <xf numFmtId="0" fontId="27" fillId="0" borderId="0" xfId="0" applyFont="1" applyAlignment="1">
      <alignment vertical="center"/>
    </xf>
    <xf numFmtId="14" fontId="27" fillId="0" borderId="0" xfId="0" applyNumberFormat="1" applyFont="1" applyAlignment="1">
      <alignment horizontal="left" vertical="center"/>
    </xf>
    <xf numFmtId="0" fontId="27" fillId="0" borderId="0" xfId="0" applyFont="1" applyAlignment="1">
      <alignment horizontal="left"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5" xr:uid="{4C9FEED1-12BA-417C-9006-DCC64797E6CB}"/>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43">
    <dxf>
      <font>
        <b val="0"/>
        <i val="0"/>
        <strike val="0"/>
        <condense val="0"/>
        <extend val="0"/>
        <outline val="0"/>
        <shadow val="0"/>
        <u val="none"/>
        <vertAlign val="baseline"/>
        <sz val="10"/>
        <color auto="1"/>
        <name val="Arial"/>
        <family val="2"/>
        <scheme val="none"/>
      </font>
      <numFmt numFmtId="164" formatCode="&quot;$&quot;#,##0"/>
      <alignment horizontal="right" vertical="bottom" textRotation="0" wrapText="0" indent="0" justifyLastLine="0" shrinkToFit="0" readingOrder="0"/>
      <border diagonalUp="0" diagonalDown="0">
        <left style="hair">
          <color indexed="64"/>
        </left>
        <right style="thin">
          <color indexed="64"/>
        </right>
        <top/>
        <bottom/>
        <vertical/>
        <horizontal/>
      </border>
    </dxf>
    <dxf>
      <font>
        <b val="0"/>
        <i val="0"/>
        <strike val="0"/>
        <condense val="0"/>
        <extend val="0"/>
        <outline val="0"/>
        <shadow val="0"/>
        <u val="none"/>
        <vertAlign val="baseline"/>
        <sz val="10"/>
        <color auto="1"/>
        <name val="Arial"/>
        <family val="2"/>
        <scheme val="none"/>
      </font>
      <numFmt numFmtId="164" formatCode="&quot;$&quot;#,##0"/>
      <alignment horizontal="right" vertical="bottom" textRotation="0" wrapText="0" indent="0" justifyLastLine="0" shrinkToFit="0" readingOrder="0"/>
      <border diagonalUp="0" diagonalDown="0">
        <left style="hair">
          <color indexed="64"/>
        </left>
        <right style="thin">
          <color indexed="64"/>
        </right>
        <top/>
        <bottom/>
        <vertical/>
        <horizontal/>
      </border>
    </dxf>
    <dxf>
      <font>
        <b val="0"/>
        <i val="0"/>
        <strike val="0"/>
        <condense val="0"/>
        <extend val="0"/>
        <outline val="0"/>
        <shadow val="0"/>
        <u val="none"/>
        <vertAlign val="baseline"/>
        <sz val="10"/>
        <color auto="1"/>
        <name val="Arial"/>
        <family val="2"/>
        <scheme val="none"/>
      </font>
      <numFmt numFmtId="164" formatCode="&quot;$&quot;#,##0"/>
      <alignment horizontal="right" vertical="bottom" textRotation="0" wrapText="0" indent="0" justifyLastLine="0" shrinkToFit="0" readingOrder="0"/>
      <border diagonalUp="0" diagonalDown="0">
        <left style="hair">
          <color indexed="64"/>
        </left>
        <right style="thin">
          <color indexed="64"/>
        </right>
        <top/>
        <bottom/>
        <vertical/>
        <horizontal/>
      </border>
    </dxf>
    <dxf>
      <font>
        <b val="0"/>
        <i val="0"/>
        <strike val="0"/>
        <condense val="0"/>
        <extend val="0"/>
        <outline val="0"/>
        <shadow val="0"/>
        <u val="none"/>
        <vertAlign val="baseline"/>
        <sz val="10"/>
        <color auto="1"/>
        <name val="Arial"/>
        <family val="2"/>
        <scheme val="none"/>
      </font>
      <numFmt numFmtId="164" formatCode="&quot;$&quot;#,##0"/>
      <alignment horizontal="right" vertical="bottom" textRotation="0" wrapText="0" indent="0" justifyLastLine="0" shrinkToFit="0" readingOrder="0"/>
      <border diagonalUp="0" diagonalDown="0">
        <left style="hair">
          <color indexed="64"/>
        </left>
        <right style="thin">
          <color indexed="64"/>
        </right>
        <top/>
        <bottom/>
        <vertical/>
        <horizontal/>
      </border>
    </dxf>
    <dxf>
      <font>
        <b val="0"/>
        <i val="0"/>
        <strike val="0"/>
        <condense val="0"/>
        <extend val="0"/>
        <outline val="0"/>
        <shadow val="0"/>
        <u val="none"/>
        <vertAlign val="baseline"/>
        <sz val="10"/>
        <color auto="1"/>
        <name val="Arial"/>
        <family val="2"/>
        <scheme val="none"/>
      </font>
      <numFmt numFmtId="164" formatCode="&quot;$&quot;#,##0"/>
      <alignment horizontal="right" vertical="bottom" textRotation="0" wrapText="0" indent="0" justifyLastLine="0" shrinkToFit="0" readingOrder="0"/>
      <border diagonalUp="0" diagonalDown="0">
        <left style="hair">
          <color indexed="64"/>
        </left>
        <right style="thin">
          <color indexed="64"/>
        </right>
        <top/>
        <bottom/>
        <vertical/>
        <horizontal/>
      </border>
    </dxf>
    <dxf>
      <font>
        <b val="0"/>
        <i val="0"/>
        <strike val="0"/>
        <condense val="0"/>
        <extend val="0"/>
        <outline val="0"/>
        <shadow val="0"/>
        <u val="none"/>
        <vertAlign val="baseline"/>
        <sz val="10"/>
        <color auto="1"/>
        <name val="Arial"/>
        <family val="2"/>
        <scheme val="none"/>
      </font>
      <numFmt numFmtId="164" formatCode="&quot;$&quot;#,##0"/>
      <alignment horizontal="right" vertical="center" textRotation="0" wrapText="0" indent="0" justifyLastLine="0" shrinkToFit="0" readingOrder="0"/>
      <border diagonalUp="0" diagonalDown="0">
        <left style="thin">
          <color indexed="64"/>
        </left>
        <right style="hair">
          <color indexed="64"/>
        </right>
        <top/>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393D40"/>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2" tint="-9.9978637043366805E-2"/>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style="hair">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 formatCode="#,##0"/>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right style="hair">
          <color indexed="64"/>
        </right>
        <top/>
        <bottom/>
      </border>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8" formatCode="_(* #,##0_);_(* \(#,##0\);_(*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_(&quot;$&quot;* #,##0_);_(&quot;$&quot;* \(#,##0\);_(&quot;$&quot;*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thin">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thin">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thin">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family val="2"/>
        <scheme val="none"/>
      </font>
      <numFmt numFmtId="3" formatCode="#,##0"/>
      <alignment horizontal="right" vertical="center" textRotation="0" wrapText="1" indent="0" justifyLastLine="0" shrinkToFit="0" readingOrder="0"/>
      <border diagonalUp="0" diagonalDown="0" outline="0">
        <left style="thin">
          <color indexed="64"/>
        </left>
        <right style="hair">
          <color indexed="64"/>
        </right>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393D40"/>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393D40"/>
        <name val="Arial"/>
        <family val="2"/>
        <scheme val="none"/>
      </font>
      <fill>
        <patternFill patternType="none">
          <fgColor indexed="64"/>
          <bgColor indexed="65"/>
        </patternFill>
      </fill>
      <alignment horizontal="general" vertical="center" textRotation="0" wrapText="1"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border>
        <bottom style="medium">
          <color rgb="FF000000"/>
        </bottom>
      </border>
    </dxf>
    <dxf>
      <font>
        <b/>
        <i val="0"/>
        <strike val="0"/>
        <condense val="0"/>
        <extend val="0"/>
        <outline val="0"/>
        <shadow val="0"/>
        <u val="none"/>
        <vertAlign val="baseline"/>
        <sz val="10"/>
        <color rgb="FF393D40"/>
        <name val="Arial"/>
        <family val="2"/>
        <scheme val="none"/>
      </font>
      <fill>
        <patternFill patternType="solid">
          <fgColor indexed="64"/>
          <bgColor theme="2" tint="-9.9978637043366805E-2"/>
        </patternFill>
      </fill>
      <alignment horizontal="center" vertical="center" textRotation="0" wrapText="1" indent="0" justifyLastLine="0" shrinkToFit="0" readingOrder="0"/>
    </dxf>
  </dxfs>
  <tableStyles count="0" defaultTableStyle="TableStyleMedium2" defaultPivotStyle="PivotStyleLight16"/>
  <colors>
    <mruColors>
      <color rgb="FF2D77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0F2FED-E530-4B7B-A180-8BE596DC8F3C}" name="Table134" displayName="Table134" ref="A11:AC66" totalsRowShown="0" headerRowDxfId="42" dataDxfId="40" headerRowBorderDxfId="41" tableBorderDxfId="39">
  <autoFilter ref="A11:AC66" xr:uid="{69B5EF9A-4D56-4028-9869-F468DC61A02E}"/>
  <tableColumns count="29">
    <tableColumn id="1" xr3:uid="{0579D6BA-C8B0-4A84-9AFC-0E03BCCEBCB9}" name="State" dataDxfId="38"/>
    <tableColumn id="19" xr3:uid="{937D6B5B-2786-45B6-9E13-FD13768B40E2}" name="ST" dataDxfId="37"/>
    <tableColumn id="2" xr3:uid="{4F5A527C-9E47-4833-B6E9-1CF8B2ED4311}" name="Marketplace" dataDxfId="36"/>
    <tableColumn id="3" xr3:uid="{EB614098-9BC0-4FD6-8AB0-277B544A92EE}" name="Total Marketplace 2020 Enrollment" dataDxfId="35">
      <calculatedColumnFormula>SUM(E12:F12)</calculatedColumnFormula>
    </tableColumn>
    <tableColumn id="4" xr3:uid="{FD0B5A3E-95B9-43C2-8B1F-DD84B6447FFC}" name=" Marketplace Effectuated Enrollment, below 400% FPL " dataDxfId="34"/>
    <tableColumn id="5" xr3:uid="{EB65FF51-357D-4EF1-88AF-1DC1D060C75A}" name=" Marketplace Effectuated Enrollment, above 400% FPL " dataDxfId="33"/>
    <tableColumn id="6" xr3:uid="{CA0BBF55-D0B6-4C01-98FC-F8E67B302B75}" name=" Marketplace Effectuated Enrollment, above 400% FPL estimated to receive APTC subsidies" dataDxfId="32">
      <calculatedColumnFormula>F12*0.8754</calculatedColumnFormula>
    </tableColumn>
    <tableColumn id="7" xr3:uid="{DA4F7EAE-0FBF-44C8-9375-9D61B45F7143}" name="Total Off-Exchange Enrollment " dataDxfId="31"/>
    <tableColumn id="8" xr3:uid="{75FC024A-D6CC-4C7E-B606-40DA3867CF99}" name=" Off-Exchange  Enrollment, below 400% FPL " dataDxfId="30">
      <calculatedColumnFormula>H12*0.38</calculatedColumnFormula>
    </tableColumn>
    <tableColumn id="9" xr3:uid="{619366E6-A8DC-4AB2-BBAE-ED039417550D}" name="  Off-Exchange Enrollment, above 400% FPL " dataDxfId="29">
      <calculatedColumnFormula>H12-I12</calculatedColumnFormula>
    </tableColumn>
    <tableColumn id="10" xr3:uid="{10A27C31-46BF-4924-B8D5-675F93C9F3D5}" name=" Off-Exchange Enrollment, above 400% FPL estimated to receive APTC subsidies" dataDxfId="28">
      <calculatedColumnFormula>J12*0.4922</calculatedColumnFormula>
    </tableColumn>
    <tableColumn id="11" xr3:uid="{55675142-C3E0-414E-9F6D-85480F6E7099}" name="Total Uninsured Marketplace Eligible" dataDxfId="27">
      <calculatedColumnFormula>SUM(M12:N12)</calculatedColumnFormula>
    </tableColumn>
    <tableColumn id="12" xr3:uid="{BD8D0795-3E17-4DD2-92CC-56629FA6AEAE}" name="Uninsured Marketplace Eligible, Below 400% FPL " dataDxfId="26"/>
    <tableColumn id="13" xr3:uid="{5B698D8D-FC00-4C92-A318-82A06F5F885D}" name="Uninsured Marketplace Eligible, Above 400% FPL " dataDxfId="25"/>
    <tableColumn id="14" xr3:uid="{22E6B006-E85E-4106-80B0-BCDF7954B565}" name="Uninsured Marketplace Eligible, Above 400% FPL - Estimated Eligible for Stimulus APTC " dataDxfId="24">
      <calculatedColumnFormula>N12*0.4922</calculatedColumnFormula>
    </tableColumn>
    <tableColumn id="15" xr3:uid="{45BBEC35-E431-4DFE-B1F6-8973A2DC2E7A}" name="Total Marketplace Eligible Individuals Above 400% FPL" dataDxfId="23">
      <calculatedColumnFormula>SUM(F12,J12,N12)</calculatedColumnFormula>
    </tableColumn>
    <tableColumn id="16" xr3:uid="{B1BAEC93-E5AE-4B6F-B2D0-C6931535E590}" name="Newly Eligible for APTC, Above 400% FPL" dataDxfId="22">
      <calculatedColumnFormula>SUM(G12,K12,O12)</calculatedColumnFormula>
    </tableColumn>
    <tableColumn id="21" xr3:uid="{661D708C-C986-4EFF-8BE5-41FD5D7EEE15}" name="Total Newly Eligible for APTC _x000a_(includes &lt;400% not currently enrolled through marketplace)" dataDxfId="21"/>
    <tableColumn id="24" xr3:uid="{79EE975D-2D82-47C5-99CF-9547EE0D1F30}" name="2020 Average Subsidy Per Enrollee Per Month" dataDxfId="20" dataCellStyle="Currency"/>
    <tableColumn id="23" xr3:uid="{0AF9009A-BD4F-4FEF-BDC9-AB1E164796E8}" name="2020 Average Count of APTC Enrollees" dataDxfId="19" dataCellStyle="Comma"/>
    <tableColumn id="28" xr3:uid="{EAB5706F-B2E6-47F8-A88B-2784B85DFB6D}" name="Calculation Field (Avg Subsidy x Average Enrollees)" dataDxfId="18" dataCellStyle="Currency">
      <calculatedColumnFormula>Table134[[#This Row],[2020 Average Subsidy Per Enrollee Per Month]]*Table134[[#This Row],[2020 Average Count of APTC Enrollees]]</calculatedColumnFormula>
    </tableColumn>
    <tableColumn id="25" xr3:uid="{EF68789C-258A-43E3-A54C-35D4A20C22F8}" name="Estimated Monthly Subsidy Per Enrollee, under 400% FPL" dataDxfId="17" dataCellStyle="Currency">
      <calculatedColumnFormula>Table134[[#This Row],[2020 Average Subsidy Per Enrollee Per Month]]*$T$7</calculatedColumnFormula>
    </tableColumn>
    <tableColumn id="30" xr3:uid="{7A4B08E1-76DC-43F3-A5DF-CE7A537300D6}" name="Estimated New Monthly Subsidy Per Enrollee, Under 400% FPL" dataDxfId="16" dataCellStyle="Currency">
      <calculatedColumnFormula>Table134[[#This Row],[Estimated Monthly Subsidy Per Enrollee, under 400% FPL]]-Table134[[#This Row],[2020 Average Subsidy Per Enrollee Per Month]]</calculatedColumnFormula>
    </tableColumn>
    <tableColumn id="22" xr3:uid="{5B64DD64-1266-458B-9088-8323FBCE1453}" name="Estimated Monthly Subsidy Per Enrollee, above 400% FPL" dataDxfId="15" dataCellStyle="Currency">
      <calculatedColumnFormula>Table134[[#This Row],[2020 Average Subsidy Per Enrollee Per Month]]*$T$7*$T$8</calculatedColumnFormula>
    </tableColumn>
    <tableColumn id="26" xr3:uid="{A334CE43-77AA-4540-8DBD-1B4951EDCCC8}" name="Total Potential Aggregate Annual Subsidy for Newly Eligible,_x000a_under 400% FPL" dataDxfId="14" dataCellStyle="Currency">
      <calculatedColumnFormula>Table134[[#This Row],[Estimated Monthly Subsidy Per Enrollee, under 400% FPL]]*(Table134[[#This Row],[ Off-Exchange  Enrollment, below 400% FPL ]]+Table134[[#This Row],[Uninsured Marketplace Eligible, Below 400% FPL ]])*12</calculatedColumnFormula>
    </tableColumn>
    <tableColumn id="17" xr3:uid="{87A8107F-747A-44D8-BF90-A1986C5BC116}" name="Total Potential Aggregate Annual Subsidy for Newly Eligible,_x000a_above 400% FPL" dataDxfId="13" dataCellStyle="Currency">
      <calculatedColumnFormula>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calculatedColumnFormula>
    </tableColumn>
    <tableColumn id="29" xr3:uid="{BEA39AA9-26EC-4AF8-9F81-71C6D162E7A5}" name="Total Potential Aggregate Annual Subsidy for Newly Eligible" dataDxfId="12" dataCellStyle="Currency">
      <calculatedColumnFormula>Table134[[#This Row],[Total Potential Aggregate Annual Subsidy for Newly Eligible,
under 400% FPL]]+Table134[[#This Row],[Total Potential Aggregate Annual Subsidy for Newly Eligible,
above 400% FPL]]</calculatedColumnFormula>
    </tableColumn>
    <tableColumn id="20" xr3:uid="{1CEA079B-20E8-4942-872C-27B4F681A4C3}" name="Uninsured Medicaid Eligible" dataDxfId="11"/>
    <tableColumn id="18" xr3:uid="{A0AE26D5-F83B-4204-A716-B284F678EB80}" name="Change in Unsubsidized Enrollment 2019 Compared to 2016" dataDxfId="1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ECCB9E-0057-4A01-9053-32FF7CC5E083}" name="Table1" displayName="Table1" ref="A9:H63" totalsRowShown="0" headerRowDxfId="9" dataDxfId="8">
  <autoFilter ref="A9:H63" xr:uid="{4373A15E-37A4-4C2A-9D48-7012F2E83522}"/>
  <tableColumns count="8">
    <tableColumn id="1" xr3:uid="{4FCB6CA8-4F79-4E28-A654-1BB17A5881DB}" name="State" dataDxfId="7"/>
    <tableColumn id="2" xr3:uid="{DC0D3799-3E29-47B8-81BA-6853D34B9A9F}" name="Marketplace" dataDxfId="6"/>
    <tableColumn id="3" xr3:uid="{8F0EE683-AD54-4B9A-A8BD-95783418BBE2}" name="2019 Gross Premium" dataDxfId="5"/>
    <tableColumn id="4" xr3:uid="{7D2312DB-CE8C-49E7-B830-22B3045D9EA2}" name="Estimated Annual Marketing Funding Based on 0.82% Gross Premium Allocation " dataDxfId="4">
      <calculatedColumnFormula>C10*0.0103</calculatedColumnFormula>
    </tableColumn>
    <tableColumn id="5" xr3:uid="{64A99F25-C3A3-499D-A99F-8DDB3045EEE7}" name="Estimated Annual Marketing Funding Based on 25% of 0.82% Gross Premium Allocation" dataDxfId="3">
      <calculatedColumnFormula>D10*0.25</calculatedColumnFormula>
    </tableColumn>
    <tableColumn id="6" xr3:uid="{FC13DC65-C887-4AF2-BBA5-7B80CFB9065D}" name="Estimated Annual Marketing Funding Based on 33% of 0.82% Gross Premium Allocation" dataDxfId="2">
      <calculatedColumnFormula>D10*(1/3)</calculatedColumnFormula>
    </tableColumn>
    <tableColumn id="7" xr3:uid="{EF26C814-4B68-4F9A-A0A6-350FA4A8D5B5}" name="Estimated Annual Marketing Funding Based on 50% of 0.82% Gross Premium Allocation" dataDxfId="1">
      <calculatedColumnFormula>D10*0.5</calculatedColumnFormula>
    </tableColumn>
    <tableColumn id="8" xr3:uid="{299D89D8-213F-4B57-90DD-94F97B176AAC}" name="Estimated Stimulus / SEP Marketing Campaign Spend on National Budget of $100M" dataDxfId="0">
      <calculatedColumnFormula>100000000*('State by State Data'!R12/SUM('State by State Data'!R$16:R$66))</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Covered California">
      <a:dk1>
        <a:sysClr val="windowText" lastClr="000000"/>
      </a:dk1>
      <a:lt1>
        <a:sysClr val="window" lastClr="FFFFFF"/>
      </a:lt1>
      <a:dk2>
        <a:srgbClr val="44546A"/>
      </a:dk2>
      <a:lt2>
        <a:srgbClr val="E7E6E6"/>
      </a:lt2>
      <a:accent1>
        <a:srgbClr val="19B9CA"/>
      </a:accent1>
      <a:accent2>
        <a:srgbClr val="554D56"/>
      </a:accent2>
      <a:accent3>
        <a:srgbClr val="DCB626"/>
      </a:accent3>
      <a:accent4>
        <a:srgbClr val="417A65"/>
      </a:accent4>
      <a:accent5>
        <a:srgbClr val="2D77A4"/>
      </a:accent5>
      <a:accent6>
        <a:srgbClr val="D87333"/>
      </a:accent6>
      <a:hlink>
        <a:srgbClr val="A7D02F"/>
      </a:hlink>
      <a:folHlink>
        <a:srgbClr val="D1D3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3C1AB-6E2D-417A-9782-6A36DB88BB72}">
  <dimension ref="A1:E16"/>
  <sheetViews>
    <sheetView tabSelected="1" zoomScaleNormal="100" workbookViewId="0">
      <selection activeCell="A2" sqref="A2:C2"/>
    </sheetView>
  </sheetViews>
  <sheetFormatPr defaultColWidth="8.85546875" defaultRowHeight="15" x14ac:dyDescent="0.25"/>
  <cols>
    <col min="1" max="1" width="12.5703125" style="149" customWidth="1"/>
    <col min="2" max="2" width="11.7109375" style="149" customWidth="1"/>
    <col min="3" max="3" width="40.28515625" style="149" customWidth="1"/>
    <col min="4" max="5" width="13.28515625" style="149" customWidth="1"/>
    <col min="6" max="16384" width="8.85546875" style="149"/>
  </cols>
  <sheetData>
    <row r="1" spans="1:5" ht="15.75" thickBot="1" x14ac:dyDescent="0.3"/>
    <row r="2" spans="1:5" ht="55.9" customHeight="1" thickBot="1" x14ac:dyDescent="0.3">
      <c r="A2" s="255" t="s">
        <v>261</v>
      </c>
      <c r="B2" s="255"/>
      <c r="C2" s="256"/>
      <c r="D2" s="162" t="s">
        <v>45</v>
      </c>
      <c r="E2" s="163" t="s">
        <v>169</v>
      </c>
    </row>
    <row r="3" spans="1:5" ht="29.45" customHeight="1" x14ac:dyDescent="0.25">
      <c r="A3" s="257" t="s">
        <v>259</v>
      </c>
      <c r="B3" s="260" t="s">
        <v>203</v>
      </c>
      <c r="C3" s="189" t="s">
        <v>237</v>
      </c>
      <c r="D3" s="144">
        <f>'State by State Data'!$M$12</f>
        <v>11228900</v>
      </c>
      <c r="E3" s="190">
        <f>ROUND('State by State Data'!$M$20,-4)</f>
        <v>990000</v>
      </c>
    </row>
    <row r="4" spans="1:5" ht="29.45" customHeight="1" x14ac:dyDescent="0.25">
      <c r="A4" s="258"/>
      <c r="B4" s="261"/>
      <c r="C4" s="191" t="s">
        <v>238</v>
      </c>
      <c r="D4" s="192">
        <f>'State by State Data'!$O$12</f>
        <v>2111200</v>
      </c>
      <c r="E4" s="193">
        <f>ROUND('State by State Data'!$O$20,-4)</f>
        <v>230000</v>
      </c>
    </row>
    <row r="5" spans="1:5" ht="29.45" customHeight="1" thickBot="1" x14ac:dyDescent="0.3">
      <c r="A5" s="258"/>
      <c r="B5" s="262"/>
      <c r="C5" s="146" t="s">
        <v>236</v>
      </c>
      <c r="D5" s="147">
        <f>SUM(D3:D4)</f>
        <v>13340100</v>
      </c>
      <c r="E5" s="150">
        <f>SUM(E3:E4)</f>
        <v>1220000</v>
      </c>
    </row>
    <row r="6" spans="1:5" ht="29.45" customHeight="1" x14ac:dyDescent="0.25">
      <c r="A6" s="258"/>
      <c r="B6" s="261" t="s">
        <v>228</v>
      </c>
      <c r="C6" s="194" t="s">
        <v>241</v>
      </c>
      <c r="D6" s="195">
        <f>'State by State Data'!$I$12</f>
        <v>776074.74844800017</v>
      </c>
      <c r="E6" s="196">
        <f>ROUND('State by State Data'!$I$20,-4)</f>
        <v>220000</v>
      </c>
    </row>
    <row r="7" spans="1:5" ht="29.45" customHeight="1" x14ac:dyDescent="0.25">
      <c r="A7" s="258"/>
      <c r="B7" s="261"/>
      <c r="C7" s="191" t="s">
        <v>240</v>
      </c>
      <c r="D7" s="197">
        <f>'State by State Data'!$K$12</f>
        <v>734411.78826816007</v>
      </c>
      <c r="E7" s="198">
        <f>ROUND('State by State Data'!$K$20,-4)</f>
        <v>210000</v>
      </c>
    </row>
    <row r="8" spans="1:5" ht="29.45" customHeight="1" thickBot="1" x14ac:dyDescent="0.3">
      <c r="A8" s="259"/>
      <c r="B8" s="262"/>
      <c r="C8" s="146" t="s">
        <v>236</v>
      </c>
      <c r="D8" s="147">
        <f>SUM(D6:D7)</f>
        <v>1510486.5367161604</v>
      </c>
      <c r="E8" s="150">
        <f>SUM(E6:E7)</f>
        <v>430000</v>
      </c>
    </row>
    <row r="9" spans="1:5" ht="29.45" customHeight="1" x14ac:dyDescent="0.25">
      <c r="A9" s="325" t="s">
        <v>260</v>
      </c>
      <c r="B9" s="263" t="s">
        <v>202</v>
      </c>
      <c r="C9" s="189" t="s">
        <v>239</v>
      </c>
      <c r="D9" s="144">
        <f>'State by State Data'!$E$12</f>
        <v>9106898</v>
      </c>
      <c r="E9" s="190">
        <f>ROUND('State by State Data'!$E$20,-4)</f>
        <v>1270000</v>
      </c>
    </row>
    <row r="10" spans="1:5" ht="29.45" customHeight="1" x14ac:dyDescent="0.25">
      <c r="A10" s="326"/>
      <c r="B10" s="264"/>
      <c r="C10" s="191" t="s">
        <v>258</v>
      </c>
      <c r="D10" s="197">
        <f>'State by State Data'!$G$12</f>
        <v>926349</v>
      </c>
      <c r="E10" s="198">
        <f>ROUND('State by State Data'!$G$20,-4)</f>
        <v>140000</v>
      </c>
    </row>
    <row r="11" spans="1:5" ht="29.45" customHeight="1" thickBot="1" x14ac:dyDescent="0.3">
      <c r="A11" s="327"/>
      <c r="B11" s="265"/>
      <c r="C11" s="146" t="s">
        <v>257</v>
      </c>
      <c r="D11" s="147">
        <f>SUM(D9:D10)</f>
        <v>10033247</v>
      </c>
      <c r="E11" s="150">
        <f>SUM(E9:E10)</f>
        <v>1410000</v>
      </c>
    </row>
    <row r="12" spans="1:5" ht="29.45" customHeight="1" thickBot="1" x14ac:dyDescent="0.3">
      <c r="A12" s="252" t="s">
        <v>204</v>
      </c>
      <c r="B12" s="253"/>
      <c r="C12" s="154" t="s">
        <v>175</v>
      </c>
      <c r="D12" s="155">
        <f>SUM(D5,D8,D11)</f>
        <v>24883833.536716159</v>
      </c>
      <c r="E12" s="156">
        <f>SUM(E5,E8,E11)</f>
        <v>3060000</v>
      </c>
    </row>
    <row r="13" spans="1:5" ht="29.45" customHeight="1" thickBot="1" x14ac:dyDescent="0.3">
      <c r="A13" s="168" t="s">
        <v>229</v>
      </c>
      <c r="B13" s="161" t="s">
        <v>203</v>
      </c>
      <c r="C13" s="157" t="s">
        <v>99</v>
      </c>
      <c r="D13" s="158">
        <f>'State by State Data'!$AB$12</f>
        <v>7291000</v>
      </c>
      <c r="E13" s="159">
        <f>'State by State Data'!$AB$20</f>
        <v>950000</v>
      </c>
    </row>
    <row r="14" spans="1:5" ht="29.45" customHeight="1" thickBot="1" x14ac:dyDescent="0.3">
      <c r="A14" s="143" t="s">
        <v>204</v>
      </c>
      <c r="B14" s="148"/>
      <c r="C14" s="151" t="s">
        <v>235</v>
      </c>
      <c r="D14" s="152">
        <f>SUM(D12:D13)</f>
        <v>32174833.536716159</v>
      </c>
      <c r="E14" s="153">
        <f>SUM(E12:E13)</f>
        <v>4010000</v>
      </c>
    </row>
    <row r="16" spans="1:5" ht="81" customHeight="1" x14ac:dyDescent="0.25">
      <c r="A16" s="254" t="s">
        <v>264</v>
      </c>
      <c r="B16" s="254"/>
      <c r="C16" s="254"/>
      <c r="D16" s="254"/>
      <c r="E16" s="254"/>
    </row>
  </sheetData>
  <mergeCells count="8">
    <mergeCell ref="A12:B12"/>
    <mergeCell ref="A16:E16"/>
    <mergeCell ref="A2:C2"/>
    <mergeCell ref="A3:A8"/>
    <mergeCell ref="B3:B5"/>
    <mergeCell ref="B6:B8"/>
    <mergeCell ref="A9:A11"/>
    <mergeCell ref="B9:B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43B0-B0FC-4A3D-8119-2D24DE07EB23}">
  <sheetPr>
    <pageSetUpPr fitToPage="1"/>
  </sheetPr>
  <dimension ref="B1:H29"/>
  <sheetViews>
    <sheetView showGridLines="0" zoomScaleNormal="100" workbookViewId="0">
      <selection activeCell="B1" sqref="B1"/>
    </sheetView>
  </sheetViews>
  <sheetFormatPr defaultRowHeight="15" x14ac:dyDescent="0.25"/>
  <cols>
    <col min="1" max="1" width="3.7109375" customWidth="1"/>
    <col min="2" max="2" width="13.5703125" style="104" customWidth="1"/>
    <col min="3" max="3" width="10.85546875" style="104" customWidth="1"/>
    <col min="4" max="4" width="58.5703125" style="104" customWidth="1"/>
    <col min="5" max="6" width="11.140625" customWidth="1"/>
    <col min="7" max="7" width="11.140625" style="235" customWidth="1"/>
    <col min="8" max="8" width="11.140625" customWidth="1"/>
  </cols>
  <sheetData>
    <row r="1" spans="2:8" ht="18.75" x14ac:dyDescent="0.3">
      <c r="B1" s="106" t="s">
        <v>250</v>
      </c>
      <c r="C1" s="106"/>
      <c r="D1" s="106"/>
      <c r="E1" s="105"/>
      <c r="F1" s="105"/>
      <c r="G1" s="234"/>
      <c r="H1" s="105"/>
    </row>
    <row r="3" spans="2:8" x14ac:dyDescent="0.25">
      <c r="B3" s="328" t="s">
        <v>174</v>
      </c>
      <c r="C3" s="26"/>
      <c r="D3" s="26"/>
    </row>
    <row r="4" spans="2:8" x14ac:dyDescent="0.25">
      <c r="B4" s="329">
        <v>44270</v>
      </c>
      <c r="C4" s="26"/>
      <c r="D4" s="26"/>
    </row>
    <row r="5" spans="2:8" ht="30" customHeight="1" x14ac:dyDescent="0.25">
      <c r="B5" s="291" t="s">
        <v>173</v>
      </c>
      <c r="C5" s="291"/>
      <c r="D5" s="291"/>
      <c r="E5" s="291"/>
      <c r="F5" s="291"/>
      <c r="G5" s="291"/>
      <c r="H5" s="291"/>
    </row>
    <row r="6" spans="2:8" x14ac:dyDescent="0.25">
      <c r="B6" s="26"/>
      <c r="C6" s="26"/>
      <c r="D6" s="26"/>
    </row>
    <row r="7" spans="2:8" ht="18" x14ac:dyDescent="0.25">
      <c r="B7" s="106"/>
      <c r="C7" s="106"/>
      <c r="D7" s="106"/>
    </row>
    <row r="8" spans="2:8" ht="18" x14ac:dyDescent="0.25">
      <c r="B8" s="26"/>
      <c r="C8" s="26"/>
      <c r="D8" s="124"/>
    </row>
    <row r="9" spans="2:8" ht="15.75" thickBot="1" x14ac:dyDescent="0.3">
      <c r="B9" s="26"/>
      <c r="C9" s="26"/>
      <c r="D9" s="26"/>
    </row>
    <row r="10" spans="2:8" ht="57.75" customHeight="1" thickBot="1" x14ac:dyDescent="0.3">
      <c r="B10" s="255" t="s">
        <v>262</v>
      </c>
      <c r="C10" s="255"/>
      <c r="D10" s="255"/>
      <c r="E10" s="292" t="s">
        <v>45</v>
      </c>
      <c r="F10" s="293"/>
      <c r="G10" s="294" t="s">
        <v>169</v>
      </c>
      <c r="H10" s="295"/>
    </row>
    <row r="11" spans="2:8" ht="22.5" customHeight="1" x14ac:dyDescent="0.25">
      <c r="B11" s="257" t="s">
        <v>259</v>
      </c>
      <c r="C11" s="260" t="s">
        <v>203</v>
      </c>
      <c r="D11" s="199" t="s">
        <v>200</v>
      </c>
      <c r="E11" s="200">
        <f>'State by State Data'!$M12</f>
        <v>11228900</v>
      </c>
      <c r="F11" s="142">
        <f>E11/E$20</f>
        <v>0.45125281775542059</v>
      </c>
      <c r="G11" s="239">
        <f>ROUND('State by State Data'!$M20,-4)</f>
        <v>990000</v>
      </c>
      <c r="H11" s="142">
        <f>G11/G$20</f>
        <v>0.3235294117647059</v>
      </c>
    </row>
    <row r="12" spans="2:8" ht="22.5" customHeight="1" x14ac:dyDescent="0.25">
      <c r="B12" s="258"/>
      <c r="C12" s="261"/>
      <c r="D12" s="227" t="s">
        <v>201</v>
      </c>
      <c r="E12" s="228">
        <f>'State by State Data'!$O12</f>
        <v>2111200</v>
      </c>
      <c r="F12" s="232">
        <f>E12/E$20</f>
        <v>8.4842232885255359E-2</v>
      </c>
      <c r="G12" s="240">
        <f>ROUND('State by State Data'!$O20,-4)</f>
        <v>230000</v>
      </c>
      <c r="H12" s="232">
        <f>G12/G$20</f>
        <v>7.5163398692810454E-2</v>
      </c>
    </row>
    <row r="13" spans="2:8" ht="22.5" customHeight="1" thickBot="1" x14ac:dyDescent="0.3">
      <c r="B13" s="258"/>
      <c r="C13" s="262"/>
      <c r="D13" s="169" t="s">
        <v>225</v>
      </c>
      <c r="E13" s="127">
        <f>SUM(E11:E12)</f>
        <v>13340100</v>
      </c>
      <c r="F13" s="130">
        <f t="shared" ref="F13:H13" si="0">SUM(F11:F12)</f>
        <v>0.53609505064067597</v>
      </c>
      <c r="G13" s="241">
        <f>ROUND(SUM(G11:G12),-4)</f>
        <v>1220000</v>
      </c>
      <c r="H13" s="130">
        <f>SUM(H11:H12)</f>
        <v>0.39869281045751637</v>
      </c>
    </row>
    <row r="14" spans="2:8" ht="22.5" customHeight="1" x14ac:dyDescent="0.25">
      <c r="B14" s="258"/>
      <c r="C14" s="260" t="s">
        <v>228</v>
      </c>
      <c r="D14" s="171" t="s">
        <v>198</v>
      </c>
      <c r="E14" s="187">
        <f>'State by State Data'!$I12</f>
        <v>776074.74844800017</v>
      </c>
      <c r="F14" s="145">
        <f>E14/E$20</f>
        <v>3.1187909503690416E-2</v>
      </c>
      <c r="G14" s="244">
        <f>ROUND('State by State Data'!$K20,-4)</f>
        <v>210000</v>
      </c>
      <c r="H14" s="145">
        <f>G14/G$20</f>
        <v>6.8627450980392163E-2</v>
      </c>
    </row>
    <row r="15" spans="2:8" ht="22.5" customHeight="1" x14ac:dyDescent="0.25">
      <c r="B15" s="258"/>
      <c r="C15" s="261"/>
      <c r="D15" s="220" t="s">
        <v>199</v>
      </c>
      <c r="E15" s="221">
        <f>'State by State Data'!$K12</f>
        <v>734411.78826816007</v>
      </c>
      <c r="F15" s="224">
        <f>E15/E$20</f>
        <v>2.951361120401861E-2</v>
      </c>
      <c r="G15" s="245">
        <f>ROUND('State by State Data'!$I20,-4)</f>
        <v>220000</v>
      </c>
      <c r="H15" s="224">
        <f>G15/G$20</f>
        <v>7.1895424836601302E-2</v>
      </c>
    </row>
    <row r="16" spans="2:8" ht="22.5" customHeight="1" thickBot="1" x14ac:dyDescent="0.3">
      <c r="B16" s="259"/>
      <c r="C16" s="261"/>
      <c r="D16" s="170" t="s">
        <v>226</v>
      </c>
      <c r="E16" s="125">
        <f t="shared" ref="E16:H16" si="1">SUM(E14:E15)</f>
        <v>1510486.5367161604</v>
      </c>
      <c r="F16" s="237">
        <f t="shared" si="1"/>
        <v>6.0701520707709025E-2</v>
      </c>
      <c r="G16" s="242">
        <f>ROUND(SUM(G14:G15),-4)</f>
        <v>430000</v>
      </c>
      <c r="H16" s="237">
        <f>SUM(H14:H15)</f>
        <v>0.14052287581699346</v>
      </c>
    </row>
    <row r="17" spans="2:8" ht="22.5" customHeight="1" x14ac:dyDescent="0.25">
      <c r="B17" s="325" t="s">
        <v>260</v>
      </c>
      <c r="C17" s="289" t="s">
        <v>202</v>
      </c>
      <c r="D17" s="205" t="s">
        <v>227</v>
      </c>
      <c r="E17" s="206">
        <f>'State by State Data'!$E12</f>
        <v>9106898</v>
      </c>
      <c r="F17" s="210">
        <f>E17/E$20</f>
        <v>0.36597648776916741</v>
      </c>
      <c r="G17" s="246">
        <f>ROUND('State by State Data'!$E20,-4)</f>
        <v>1270000</v>
      </c>
      <c r="H17" s="210">
        <f>G17/G$20</f>
        <v>0.41503267973856212</v>
      </c>
    </row>
    <row r="18" spans="2:8" ht="22.5" customHeight="1" x14ac:dyDescent="0.25">
      <c r="B18" s="326"/>
      <c r="C18" s="290"/>
      <c r="D18" s="213" t="s">
        <v>243</v>
      </c>
      <c r="E18" s="214">
        <f>'State by State Data'!$G$12</f>
        <v>926349</v>
      </c>
      <c r="F18" s="217">
        <f>E18/E$20</f>
        <v>3.7226940882447622E-2</v>
      </c>
      <c r="G18" s="247">
        <f>ROUND('State by State Data'!G20,-4)</f>
        <v>140000</v>
      </c>
      <c r="H18" s="217">
        <f>G18/G$20</f>
        <v>4.5751633986928102E-2</v>
      </c>
    </row>
    <row r="19" spans="2:8" ht="22.5" customHeight="1" thickBot="1" x14ac:dyDescent="0.3">
      <c r="B19" s="327"/>
      <c r="C19" s="290"/>
      <c r="D19" s="180" t="s">
        <v>242</v>
      </c>
      <c r="E19" s="174">
        <f>SUM(E17:E18)</f>
        <v>10033247</v>
      </c>
      <c r="F19" s="176">
        <f>SUM(F17:F18)</f>
        <v>0.40320342865161501</v>
      </c>
      <c r="G19" s="248">
        <f t="shared" ref="G19:H19" si="2">SUM(G17:G18)</f>
        <v>1410000</v>
      </c>
      <c r="H19" s="176">
        <f>SUM(H17:H18)</f>
        <v>0.46078431372549022</v>
      </c>
    </row>
    <row r="20" spans="2:8" ht="22.5" customHeight="1" thickBot="1" x14ac:dyDescent="0.3">
      <c r="B20" s="181" t="s">
        <v>204</v>
      </c>
      <c r="C20" s="182"/>
      <c r="D20" s="183" t="s">
        <v>175</v>
      </c>
      <c r="E20" s="184">
        <f t="shared" ref="E20:G20" si="3">SUM(E13,E16,E19)</f>
        <v>24883833.536716159</v>
      </c>
      <c r="F20" s="238">
        <f t="shared" si="3"/>
        <v>1</v>
      </c>
      <c r="G20" s="243">
        <f t="shared" si="3"/>
        <v>3060000</v>
      </c>
      <c r="H20" s="238">
        <f>G20/G$20</f>
        <v>1</v>
      </c>
    </row>
    <row r="21" spans="2:8" ht="22.5" customHeight="1" thickBot="1" x14ac:dyDescent="0.3">
      <c r="B21" s="160" t="s">
        <v>229</v>
      </c>
      <c r="C21" s="168" t="s">
        <v>203</v>
      </c>
      <c r="D21" s="173" t="s">
        <v>99</v>
      </c>
      <c r="E21" s="283">
        <f>'State by State Data'!$AB$12</f>
        <v>7291000</v>
      </c>
      <c r="F21" s="284"/>
      <c r="G21" s="283">
        <f>'State by State Data'!$AB$20</f>
        <v>950000</v>
      </c>
      <c r="H21" s="284"/>
    </row>
    <row r="22" spans="2:8" ht="22.5" customHeight="1" thickBot="1" x14ac:dyDescent="0.3">
      <c r="B22" s="285" t="s">
        <v>204</v>
      </c>
      <c r="C22" s="286"/>
      <c r="D22" s="172" t="s">
        <v>235</v>
      </c>
      <c r="E22" s="287">
        <f>SUM(E20,E21)</f>
        <v>32174833.536716159</v>
      </c>
      <c r="F22" s="288"/>
      <c r="G22" s="287">
        <f>SUM(G20,G21)</f>
        <v>4010000</v>
      </c>
      <c r="H22" s="288"/>
    </row>
    <row r="23" spans="2:8" ht="9" customHeight="1" thickBot="1" x14ac:dyDescent="0.3">
      <c r="B23" s="120"/>
      <c r="C23" s="120"/>
      <c r="D23" s="120"/>
      <c r="E23" s="121"/>
      <c r="F23" s="122"/>
      <c r="G23" s="236"/>
      <c r="H23" s="123"/>
    </row>
    <row r="24" spans="2:8" ht="20.25" customHeight="1" x14ac:dyDescent="0.25">
      <c r="B24" s="133"/>
      <c r="C24" s="278" t="s">
        <v>224</v>
      </c>
      <c r="D24" s="279"/>
      <c r="E24" s="280">
        <f>'State by State Data'!W12</f>
        <v>80.149255898140382</v>
      </c>
      <c r="F24" s="280"/>
      <c r="G24" s="281">
        <f>'State by State Data'!W20</f>
        <v>73.952653061224453</v>
      </c>
      <c r="H24" s="282"/>
    </row>
    <row r="25" spans="2:8" ht="20.25" customHeight="1" x14ac:dyDescent="0.25">
      <c r="B25" s="133"/>
      <c r="C25" s="273" t="s">
        <v>223</v>
      </c>
      <c r="D25" s="274"/>
      <c r="E25" s="275">
        <f>'State by State Data'!V12</f>
        <v>571.06344827425062</v>
      </c>
      <c r="F25" s="275"/>
      <c r="G25" s="276">
        <f>'State by State Data'!V20</f>
        <v>526.91265306122443</v>
      </c>
      <c r="H25" s="277"/>
    </row>
    <row r="26" spans="2:8" ht="20.25" customHeight="1" thickBot="1" x14ac:dyDescent="0.3">
      <c r="B26" s="133"/>
      <c r="C26" s="268" t="s">
        <v>205</v>
      </c>
      <c r="D26" s="269"/>
      <c r="E26" s="270">
        <f>'State by State Data'!X12</f>
        <v>334.62314337473634</v>
      </c>
      <c r="F26" s="270"/>
      <c r="G26" s="271">
        <f>'State by State Data'!X20</f>
        <v>308.75232653061221</v>
      </c>
      <c r="H26" s="272"/>
    </row>
    <row r="27" spans="2:8" ht="9.75" customHeight="1" x14ac:dyDescent="0.25">
      <c r="B27" s="266"/>
      <c r="C27" s="266"/>
      <c r="D27" s="266"/>
      <c r="E27" s="266"/>
      <c r="F27" s="266"/>
      <c r="G27" s="266"/>
      <c r="H27" s="266"/>
    </row>
    <row r="28" spans="2:8" ht="116.25" customHeight="1" x14ac:dyDescent="0.25">
      <c r="B28" s="267" t="s">
        <v>265</v>
      </c>
      <c r="C28" s="267"/>
      <c r="D28" s="267"/>
      <c r="E28" s="267"/>
      <c r="F28" s="267"/>
      <c r="G28" s="267"/>
      <c r="H28" s="267"/>
    </row>
    <row r="29" spans="2:8" ht="27" customHeight="1" x14ac:dyDescent="0.25">
      <c r="B29" s="267"/>
      <c r="C29" s="267"/>
      <c r="D29" s="267"/>
      <c r="E29" s="267"/>
      <c r="F29" s="267"/>
      <c r="G29" s="267"/>
      <c r="H29" s="267"/>
    </row>
  </sheetData>
  <mergeCells count="26">
    <mergeCell ref="B5:H5"/>
    <mergeCell ref="B10:D10"/>
    <mergeCell ref="E10:F10"/>
    <mergeCell ref="G10:H10"/>
    <mergeCell ref="G21:H21"/>
    <mergeCell ref="B22:C22"/>
    <mergeCell ref="E22:F22"/>
    <mergeCell ref="G22:H22"/>
    <mergeCell ref="B11:B16"/>
    <mergeCell ref="C11:C13"/>
    <mergeCell ref="C14:C16"/>
    <mergeCell ref="B17:B19"/>
    <mergeCell ref="C17:C19"/>
    <mergeCell ref="E21:F21"/>
    <mergeCell ref="C25:D25"/>
    <mergeCell ref="E25:F25"/>
    <mergeCell ref="G25:H25"/>
    <mergeCell ref="C24:D24"/>
    <mergeCell ref="E24:F24"/>
    <mergeCell ref="G24:H24"/>
    <mergeCell ref="B27:H27"/>
    <mergeCell ref="B28:H28"/>
    <mergeCell ref="B29:H29"/>
    <mergeCell ref="C26:D26"/>
    <mergeCell ref="E26:F26"/>
    <mergeCell ref="G26:H26"/>
  </mergeCells>
  <pageMargins left="0.7" right="0.7" top="0.75" bottom="0.75" header="0.3" footer="0.3"/>
  <pageSetup scale="76" orientation="landscape" r:id="rId1"/>
  <ignoredErrors>
    <ignoredError sqref="G11:G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8E9FF-5BE2-475A-BC0B-5AC05C26313F}">
  <sheetPr>
    <pageSetUpPr fitToPage="1"/>
  </sheetPr>
  <dimension ref="B1:N29"/>
  <sheetViews>
    <sheetView showGridLines="0" zoomScale="130" zoomScaleNormal="130" workbookViewId="0">
      <selection activeCell="B1" sqref="B1"/>
    </sheetView>
  </sheetViews>
  <sheetFormatPr defaultRowHeight="15" x14ac:dyDescent="0.25"/>
  <cols>
    <col min="1" max="1" width="3.7109375" customWidth="1"/>
    <col min="2" max="3" width="10.85546875" style="104" customWidth="1"/>
    <col min="4" max="4" width="58.5703125" style="104" customWidth="1"/>
    <col min="5" max="12" width="6.5703125" customWidth="1"/>
    <col min="13" max="14" width="6.5703125" hidden="1" customWidth="1"/>
  </cols>
  <sheetData>
    <row r="1" spans="2:14" ht="18.75" x14ac:dyDescent="0.3">
      <c r="B1" s="106" t="s">
        <v>250</v>
      </c>
      <c r="C1" s="106"/>
      <c r="D1" s="106"/>
      <c r="E1" s="105"/>
      <c r="F1" s="105"/>
      <c r="G1" s="105"/>
      <c r="H1" s="105"/>
      <c r="I1" s="105"/>
      <c r="J1" s="105"/>
      <c r="K1" s="105"/>
      <c r="L1" s="105"/>
      <c r="M1" s="105"/>
      <c r="N1" s="105"/>
    </row>
    <row r="3" spans="2:14" x14ac:dyDescent="0.25">
      <c r="B3" s="26" t="s">
        <v>174</v>
      </c>
      <c r="C3" s="26"/>
      <c r="D3" s="26"/>
    </row>
    <row r="4" spans="2:14" x14ac:dyDescent="0.25">
      <c r="B4" s="329">
        <v>44270</v>
      </c>
      <c r="C4" s="26"/>
      <c r="D4" s="26"/>
    </row>
    <row r="5" spans="2:14" ht="30" customHeight="1" x14ac:dyDescent="0.25">
      <c r="B5" s="291" t="s">
        <v>173</v>
      </c>
      <c r="C5" s="291"/>
      <c r="D5" s="291"/>
      <c r="E5" s="291"/>
      <c r="F5" s="291"/>
      <c r="G5" s="291"/>
      <c r="H5" s="291"/>
      <c r="I5" s="291"/>
      <c r="J5" s="291"/>
      <c r="K5" s="291"/>
      <c r="L5" s="291"/>
      <c r="M5" s="291"/>
      <c r="N5" s="291"/>
    </row>
    <row r="6" spans="2:14" x14ac:dyDescent="0.25">
      <c r="B6" s="26"/>
      <c r="C6" s="26"/>
      <c r="D6" s="26"/>
    </row>
    <row r="7" spans="2:14" ht="18" x14ac:dyDescent="0.25">
      <c r="B7" s="106"/>
      <c r="C7" s="106"/>
      <c r="D7" s="106"/>
    </row>
    <row r="8" spans="2:14" ht="18" x14ac:dyDescent="0.25">
      <c r="B8" s="26"/>
      <c r="C8" s="26"/>
      <c r="D8" s="124"/>
    </row>
    <row r="9" spans="2:14" ht="15.75" thickBot="1" x14ac:dyDescent="0.3">
      <c r="B9" s="26"/>
      <c r="C9" s="26"/>
      <c r="D9" s="26"/>
    </row>
    <row r="10" spans="2:14" ht="57.75" customHeight="1" thickBot="1" x14ac:dyDescent="0.3">
      <c r="B10" s="255" t="s">
        <v>263</v>
      </c>
      <c r="C10" s="255"/>
      <c r="D10" s="255"/>
      <c r="E10" s="311" t="s">
        <v>45</v>
      </c>
      <c r="F10" s="312"/>
      <c r="G10" s="313" t="s">
        <v>172</v>
      </c>
      <c r="H10" s="314"/>
      <c r="I10" s="315" t="s">
        <v>170</v>
      </c>
      <c r="J10" s="315"/>
      <c r="K10" s="316" t="s">
        <v>171</v>
      </c>
      <c r="L10" s="317"/>
      <c r="M10" s="318" t="s">
        <v>169</v>
      </c>
      <c r="N10" s="295"/>
    </row>
    <row r="11" spans="2:14" ht="20.25" customHeight="1" x14ac:dyDescent="0.25">
      <c r="B11" s="257" t="s">
        <v>259</v>
      </c>
      <c r="C11" s="260" t="s">
        <v>203</v>
      </c>
      <c r="D11" s="199" t="s">
        <v>200</v>
      </c>
      <c r="E11" s="200">
        <f>'State by State Data'!$M12</f>
        <v>11228900</v>
      </c>
      <c r="F11" s="201">
        <f>E11/E$20</f>
        <v>0.45125281775542059</v>
      </c>
      <c r="G11" s="202">
        <f>'State by State Data'!$M13</f>
        <v>8522400</v>
      </c>
      <c r="H11" s="201">
        <f>G11/G$20</f>
        <v>0.48719141532923993</v>
      </c>
      <c r="I11" s="202">
        <f>'State by State Data'!$M14</f>
        <v>1814100</v>
      </c>
      <c r="J11" s="203">
        <f>I11/I$20</f>
        <v>0.54089891380826405</v>
      </c>
      <c r="K11" s="202">
        <f>'State by State Data'!$M15</f>
        <v>2706500</v>
      </c>
      <c r="L11" s="142">
        <f>K11/K$20</f>
        <v>0.36619265061927453</v>
      </c>
      <c r="M11" s="204">
        <f>'State by State Data'!$M20</f>
        <v>988600</v>
      </c>
      <c r="N11" s="131">
        <f>M11/M$20</f>
        <v>0.32270917821805817</v>
      </c>
    </row>
    <row r="12" spans="2:14" ht="20.25" customHeight="1" x14ac:dyDescent="0.25">
      <c r="B12" s="258"/>
      <c r="C12" s="261"/>
      <c r="D12" s="227" t="s">
        <v>201</v>
      </c>
      <c r="E12" s="228">
        <f>'State by State Data'!$O12</f>
        <v>2111200</v>
      </c>
      <c r="F12" s="229">
        <f>E12/E$20</f>
        <v>8.4842232885255359E-2</v>
      </c>
      <c r="G12" s="230">
        <f>'State by State Data'!$O13</f>
        <v>1419376</v>
      </c>
      <c r="H12" s="229">
        <f>G12/G$20</f>
        <v>8.1140031249924346E-2</v>
      </c>
      <c r="I12" s="230">
        <f>'State by State Data'!$O14</f>
        <v>277762</v>
      </c>
      <c r="J12" s="231">
        <f>I12/I$20</f>
        <v>8.2818567938487977E-2</v>
      </c>
      <c r="K12" s="230">
        <f>'State by State Data'!$O15</f>
        <v>691824</v>
      </c>
      <c r="L12" s="232">
        <f>K12/K$20</f>
        <v>9.3604605328663951E-2</v>
      </c>
      <c r="M12" s="233">
        <f>'State by State Data'!$O20</f>
        <v>228519.99999999997</v>
      </c>
      <c r="N12" s="226">
        <f>M12/M$20</f>
        <v>7.4595894604886345E-2</v>
      </c>
    </row>
    <row r="13" spans="2:14" ht="20.25" customHeight="1" thickBot="1" x14ac:dyDescent="0.3">
      <c r="B13" s="258"/>
      <c r="C13" s="262"/>
      <c r="D13" s="169" t="s">
        <v>225</v>
      </c>
      <c r="E13" s="127">
        <f>SUM(E11:E12)</f>
        <v>13340100</v>
      </c>
      <c r="F13" s="164">
        <f t="shared" ref="F13:N13" si="0">SUM(F11:F12)</f>
        <v>0.53609505064067597</v>
      </c>
      <c r="G13" s="129">
        <f>SUM(G11:G12)</f>
        <v>9941776</v>
      </c>
      <c r="H13" s="164">
        <f t="shared" si="0"/>
        <v>0.56833144657916423</v>
      </c>
      <c r="I13" s="129">
        <f>SUM(I11:I12)</f>
        <v>2091862</v>
      </c>
      <c r="J13" s="128">
        <f t="shared" si="0"/>
        <v>0.62371748174675201</v>
      </c>
      <c r="K13" s="129">
        <f>SUM(K11:K12)</f>
        <v>3398324</v>
      </c>
      <c r="L13" s="130">
        <f>SUM(L11:L12)</f>
        <v>0.45979725594793847</v>
      </c>
      <c r="M13" s="139">
        <f t="shared" si="0"/>
        <v>1217120</v>
      </c>
      <c r="N13" s="130">
        <f t="shared" si="0"/>
        <v>0.39730507282294453</v>
      </c>
    </row>
    <row r="14" spans="2:14" ht="20.25" customHeight="1" x14ac:dyDescent="0.25">
      <c r="B14" s="258"/>
      <c r="C14" s="260" t="s">
        <v>228</v>
      </c>
      <c r="D14" s="171" t="s">
        <v>198</v>
      </c>
      <c r="E14" s="187">
        <f>'State by State Data'!$I12</f>
        <v>776074.74844800017</v>
      </c>
      <c r="F14" s="166">
        <f>E14/E$20</f>
        <v>3.1187909503690416E-2</v>
      </c>
      <c r="G14" s="188">
        <f>'State by State Data'!$I13</f>
        <v>369929.43744800001</v>
      </c>
      <c r="H14" s="166">
        <f>G14/G$20</f>
        <v>2.1147381747188661E-2</v>
      </c>
      <c r="I14" s="188">
        <f>'State by State Data'!$I14</f>
        <v>21290.587484</v>
      </c>
      <c r="J14" s="166">
        <f>I14/I$20</f>
        <v>6.3480820486386752E-3</v>
      </c>
      <c r="K14" s="188">
        <f>'State by State Data'!$I15</f>
        <v>406145.3110000001</v>
      </c>
      <c r="L14" s="145">
        <f>K14/K$20</f>
        <v>5.4951940872595473E-2</v>
      </c>
      <c r="M14" s="140">
        <f>'State by State Data'!$K20</f>
        <v>210730.09499999997</v>
      </c>
      <c r="N14" s="131">
        <f>M14/M$20</f>
        <v>6.8788727274189068E-2</v>
      </c>
    </row>
    <row r="15" spans="2:14" ht="20.25" customHeight="1" x14ac:dyDescent="0.25">
      <c r="B15" s="258"/>
      <c r="C15" s="261"/>
      <c r="D15" s="220" t="s">
        <v>199</v>
      </c>
      <c r="E15" s="221">
        <f>'State by State Data'!$K12</f>
        <v>734411.78826816007</v>
      </c>
      <c r="F15" s="222">
        <f>E15/E$20</f>
        <v>2.951361120401861E-2</v>
      </c>
      <c r="G15" s="223">
        <f>'State by State Data'!$K13</f>
        <v>350070.06764815992</v>
      </c>
      <c r="H15" s="222">
        <f>G15/G$20</f>
        <v>2.0012101253392211E-2</v>
      </c>
      <c r="I15" s="223">
        <f>'State by State Data'!$K14</f>
        <v>20147.619103279998</v>
      </c>
      <c r="J15" s="222">
        <f>I15/I$20</f>
        <v>6.0072902755012297E-3</v>
      </c>
      <c r="K15" s="223">
        <f>'State by State Data'!$K15</f>
        <v>384341.72061999992</v>
      </c>
      <c r="L15" s="224">
        <f>K15/K$20</f>
        <v>5.2001889309961372E-2</v>
      </c>
      <c r="M15" s="225">
        <f>'State by State Data'!$I20</f>
        <v>222684.75</v>
      </c>
      <c r="N15" s="226">
        <f>M15/M$20</f>
        <v>7.2691091112880565E-2</v>
      </c>
    </row>
    <row r="16" spans="2:14" ht="20.25" customHeight="1" thickBot="1" x14ac:dyDescent="0.3">
      <c r="B16" s="259"/>
      <c r="C16" s="261"/>
      <c r="D16" s="170" t="s">
        <v>226</v>
      </c>
      <c r="E16" s="125">
        <f t="shared" ref="E16:N16" si="1">SUM(E14:E15)</f>
        <v>1510486.5367161604</v>
      </c>
      <c r="F16" s="165">
        <f t="shared" si="1"/>
        <v>6.0701520707709025E-2</v>
      </c>
      <c r="G16" s="167">
        <f t="shared" si="1"/>
        <v>719999.50509615988</v>
      </c>
      <c r="H16" s="165">
        <f t="shared" si="1"/>
        <v>4.1159483000580872E-2</v>
      </c>
      <c r="I16" s="167">
        <f t="shared" si="1"/>
        <v>41438.206587280001</v>
      </c>
      <c r="J16" s="165">
        <f t="shared" si="1"/>
        <v>1.2355372324139906E-2</v>
      </c>
      <c r="K16" s="129">
        <f t="shared" si="1"/>
        <v>790487.03162000002</v>
      </c>
      <c r="L16" s="130">
        <f t="shared" si="1"/>
        <v>0.10695383018255684</v>
      </c>
      <c r="M16" s="141">
        <f t="shared" si="1"/>
        <v>433414.84499999997</v>
      </c>
      <c r="N16" s="126">
        <f t="shared" si="1"/>
        <v>0.14147981838706963</v>
      </c>
    </row>
    <row r="17" spans="2:14" ht="26.45" customHeight="1" thickBot="1" x14ac:dyDescent="0.3">
      <c r="B17" s="325" t="s">
        <v>260</v>
      </c>
      <c r="C17" s="289" t="s">
        <v>202</v>
      </c>
      <c r="D17" s="205" t="s">
        <v>227</v>
      </c>
      <c r="E17" s="206">
        <f>'State by State Data'!$E12</f>
        <v>9106898</v>
      </c>
      <c r="F17" s="207">
        <f>E17/E$20</f>
        <v>0.36597648776916741</v>
      </c>
      <c r="G17" s="208">
        <f>'State by State Data'!$E13</f>
        <v>6382677</v>
      </c>
      <c r="H17" s="207">
        <f>G17/G$20</f>
        <v>0.36487203618926439</v>
      </c>
      <c r="I17" s="208">
        <f>'State by State Data'!$E14</f>
        <v>1128799</v>
      </c>
      <c r="J17" s="209">
        <f>I17/I$20</f>
        <v>0.33656697701772481</v>
      </c>
      <c r="K17" s="208">
        <f>'State by State Data'!$E15</f>
        <v>2724223</v>
      </c>
      <c r="L17" s="210">
        <f>K17/K$20</f>
        <v>0.36859059347792056</v>
      </c>
      <c r="M17" s="211">
        <f>'State by State Data'!$E20</f>
        <v>1271278</v>
      </c>
      <c r="N17" s="212">
        <f>M17/M$20</f>
        <v>0.41498389507050026</v>
      </c>
    </row>
    <row r="18" spans="2:14" ht="26.45" customHeight="1" thickBot="1" x14ac:dyDescent="0.3">
      <c r="B18" s="326"/>
      <c r="C18" s="290"/>
      <c r="D18" s="213" t="s">
        <v>243</v>
      </c>
      <c r="E18" s="214">
        <f>'State by State Data'!$G$12</f>
        <v>926349</v>
      </c>
      <c r="F18" s="215">
        <f>E18/E$20</f>
        <v>3.7226940882447622E-2</v>
      </c>
      <c r="G18" s="192">
        <f>'State by State Data'!$G$13</f>
        <v>448466.565</v>
      </c>
      <c r="H18" s="215">
        <f>G18/G$20</f>
        <v>2.5637034230990396E-2</v>
      </c>
      <c r="I18" s="192">
        <f>'State by State Data'!$G$14</f>
        <v>91762.214999999997</v>
      </c>
      <c r="J18" s="216">
        <f>I18/I$20</f>
        <v>2.7360168911383268E-2</v>
      </c>
      <c r="K18" s="192">
        <f>'State by State Data'!$G$15</f>
        <v>477884.37</v>
      </c>
      <c r="L18" s="217">
        <f>K18/K$20</f>
        <v>6.4658320391584007E-2</v>
      </c>
      <c r="M18" s="218">
        <f>'State by State Data'!G20</f>
        <v>141626.51999999999</v>
      </c>
      <c r="N18" s="219">
        <f>M18/M$20</f>
        <v>4.6231213719485513E-2</v>
      </c>
    </row>
    <row r="19" spans="2:14" ht="26.45" customHeight="1" thickBot="1" x14ac:dyDescent="0.3">
      <c r="B19" s="327"/>
      <c r="C19" s="290"/>
      <c r="D19" s="180" t="s">
        <v>242</v>
      </c>
      <c r="E19" s="174">
        <f>SUM(E17:E18)</f>
        <v>10033247</v>
      </c>
      <c r="F19" s="175">
        <f>SUM(F17:F18)</f>
        <v>0.40320342865161501</v>
      </c>
      <c r="G19" s="178">
        <f t="shared" ref="G19:N19" si="2">SUM(G17:G18)</f>
        <v>6831143.5650000004</v>
      </c>
      <c r="H19" s="179">
        <f t="shared" si="2"/>
        <v>0.39050907042025479</v>
      </c>
      <c r="I19" s="177">
        <f t="shared" si="2"/>
        <v>1220561.2150000001</v>
      </c>
      <c r="J19" s="175">
        <f t="shared" si="2"/>
        <v>0.36392714592910808</v>
      </c>
      <c r="K19" s="177">
        <f t="shared" si="2"/>
        <v>3202107.37</v>
      </c>
      <c r="L19" s="176">
        <f t="shared" si="2"/>
        <v>0.43324891386950459</v>
      </c>
      <c r="M19" s="177">
        <f t="shared" si="2"/>
        <v>1412904.52</v>
      </c>
      <c r="N19" s="176">
        <f t="shared" si="2"/>
        <v>0.46121510878998578</v>
      </c>
    </row>
    <row r="20" spans="2:14" ht="20.25" customHeight="1" thickBot="1" x14ac:dyDescent="0.3">
      <c r="B20" s="181" t="s">
        <v>204</v>
      </c>
      <c r="C20" s="182"/>
      <c r="D20" s="183" t="s">
        <v>175</v>
      </c>
      <c r="E20" s="184">
        <f t="shared" ref="E20:M20" si="3">SUM(E13,E16,E19)</f>
        <v>24883833.536716159</v>
      </c>
      <c r="F20" s="185">
        <f t="shared" si="3"/>
        <v>1</v>
      </c>
      <c r="G20" s="186">
        <f t="shared" si="3"/>
        <v>17492919.070096161</v>
      </c>
      <c r="H20" s="185">
        <f t="shared" si="3"/>
        <v>1</v>
      </c>
      <c r="I20" s="186">
        <f t="shared" si="3"/>
        <v>3353861.42158728</v>
      </c>
      <c r="J20" s="185">
        <f t="shared" si="3"/>
        <v>1</v>
      </c>
      <c r="K20" s="186">
        <f t="shared" si="3"/>
        <v>7390918.4016200006</v>
      </c>
      <c r="L20" s="185">
        <f t="shared" si="3"/>
        <v>0.99999999999999989</v>
      </c>
      <c r="M20" s="186">
        <f t="shared" si="3"/>
        <v>3063439.3650000002</v>
      </c>
      <c r="N20" s="132">
        <f>M20/M$20</f>
        <v>1</v>
      </c>
    </row>
    <row r="21" spans="2:14" ht="25.9" customHeight="1" thickBot="1" x14ac:dyDescent="0.3">
      <c r="B21" s="160" t="s">
        <v>229</v>
      </c>
      <c r="C21" s="168" t="s">
        <v>203</v>
      </c>
      <c r="D21" s="173" t="s">
        <v>99</v>
      </c>
      <c r="E21" s="283">
        <f>'State by State Data'!$AB$12</f>
        <v>7291000</v>
      </c>
      <c r="F21" s="319"/>
      <c r="G21" s="309">
        <f>'State by State Data'!$AB$13</f>
        <v>4756000</v>
      </c>
      <c r="H21" s="319"/>
      <c r="I21" s="309">
        <f>'State by State Data'!$AB$14</f>
        <v>1304000</v>
      </c>
      <c r="J21" s="310"/>
      <c r="K21" s="309">
        <f>'State by State Data'!$AB$15</f>
        <v>2535000</v>
      </c>
      <c r="L21" s="284"/>
      <c r="M21" s="309">
        <f>'State by State Data'!$AB$20</f>
        <v>950000</v>
      </c>
      <c r="N21" s="284"/>
    </row>
    <row r="22" spans="2:14" ht="20.25" customHeight="1" thickBot="1" x14ac:dyDescent="0.3">
      <c r="B22" s="285" t="s">
        <v>204</v>
      </c>
      <c r="C22" s="286"/>
      <c r="D22" s="172" t="s">
        <v>235</v>
      </c>
      <c r="E22" s="287">
        <f>SUM(E20,E21)</f>
        <v>32174833.536716159</v>
      </c>
      <c r="F22" s="307"/>
      <c r="G22" s="308">
        <f t="shared" ref="G22" si="4">SUM(G20,G21)</f>
        <v>22248919.070096161</v>
      </c>
      <c r="H22" s="307"/>
      <c r="I22" s="308">
        <f t="shared" ref="I22" si="5">SUM(I20,I21)</f>
        <v>4657861.42158728</v>
      </c>
      <c r="J22" s="307"/>
      <c r="K22" s="308">
        <f>SUM(K20,K21)</f>
        <v>9925918.4016200006</v>
      </c>
      <c r="L22" s="288"/>
      <c r="M22" s="308">
        <f>SUM(M20,M21)</f>
        <v>4013439.3650000002</v>
      </c>
      <c r="N22" s="288"/>
    </row>
    <row r="23" spans="2:14" ht="9" customHeight="1" thickBot="1" x14ac:dyDescent="0.3">
      <c r="B23" s="120"/>
      <c r="C23" s="120"/>
      <c r="D23" s="120"/>
      <c r="E23" s="121"/>
      <c r="F23" s="122"/>
      <c r="G23" s="121"/>
      <c r="H23" s="122"/>
      <c r="I23" s="121"/>
      <c r="J23" s="122"/>
      <c r="K23" s="121"/>
      <c r="L23" s="122"/>
      <c r="M23" s="121"/>
      <c r="N23" s="123"/>
    </row>
    <row r="24" spans="2:14" ht="20.25" customHeight="1" thickTop="1" x14ac:dyDescent="0.25">
      <c r="B24" s="133"/>
      <c r="C24" s="278" t="s">
        <v>224</v>
      </c>
      <c r="D24" s="279"/>
      <c r="E24" s="280">
        <f>'State by State Data'!W12</f>
        <v>80.149255898140382</v>
      </c>
      <c r="F24" s="280"/>
      <c r="G24" s="280">
        <f>'State by State Data'!W13</f>
        <v>84.626660488187554</v>
      </c>
      <c r="H24" s="280"/>
      <c r="I24" s="280">
        <f>'State by State Data'!W14</f>
        <v>90.941481256103316</v>
      </c>
      <c r="J24" s="280"/>
      <c r="K24" s="303">
        <f>'State by State Data'!W15</f>
        <v>69.7595734035242</v>
      </c>
      <c r="L24" s="304"/>
      <c r="M24" s="305">
        <f>'State by State Data'!W20</f>
        <v>73.952653061224453</v>
      </c>
      <c r="N24" s="306"/>
    </row>
    <row r="25" spans="2:14" ht="20.25" customHeight="1" x14ac:dyDescent="0.25">
      <c r="B25" s="133"/>
      <c r="C25" s="273" t="s">
        <v>223</v>
      </c>
      <c r="D25" s="274"/>
      <c r="E25" s="275">
        <f>'State by State Data'!V12</f>
        <v>571.06344827425062</v>
      </c>
      <c r="F25" s="275"/>
      <c r="G25" s="275">
        <f>'State by State Data'!V13</f>
        <v>602.96495597833677</v>
      </c>
      <c r="H25" s="275"/>
      <c r="I25" s="275">
        <f>'State by State Data'!V14</f>
        <v>647.95805394973604</v>
      </c>
      <c r="J25" s="275"/>
      <c r="K25" s="300">
        <f>'State by State Data'!V15</f>
        <v>497.03696050011018</v>
      </c>
      <c r="L25" s="301"/>
      <c r="M25" s="276">
        <f>'State by State Data'!V20</f>
        <v>526.91265306122443</v>
      </c>
      <c r="N25" s="302"/>
    </row>
    <row r="26" spans="2:14" ht="20.25" customHeight="1" thickBot="1" x14ac:dyDescent="0.3">
      <c r="B26" s="133"/>
      <c r="C26" s="268" t="s">
        <v>205</v>
      </c>
      <c r="D26" s="269"/>
      <c r="E26" s="270">
        <f>'State by State Data'!X12</f>
        <v>334.62314337473634</v>
      </c>
      <c r="F26" s="270"/>
      <c r="G26" s="270">
        <f>'State by State Data'!X13</f>
        <v>353.31630753818331</v>
      </c>
      <c r="H26" s="270"/>
      <c r="I26" s="270">
        <f>'State by State Data'!X14</f>
        <v>379.68068424423132</v>
      </c>
      <c r="J26" s="270"/>
      <c r="K26" s="296">
        <f>'State by State Data'!X15</f>
        <v>291.2462189597137</v>
      </c>
      <c r="L26" s="297"/>
      <c r="M26" s="298">
        <f>'State by State Data'!X20</f>
        <v>308.75232653061221</v>
      </c>
      <c r="N26" s="299"/>
    </row>
    <row r="27" spans="2:14" ht="9.75" customHeight="1" x14ac:dyDescent="0.25">
      <c r="B27" s="266"/>
      <c r="C27" s="266"/>
      <c r="D27" s="266"/>
      <c r="E27" s="266"/>
      <c r="F27" s="266"/>
      <c r="G27" s="266"/>
      <c r="H27" s="266"/>
      <c r="I27" s="266"/>
      <c r="J27" s="266"/>
      <c r="K27" s="266"/>
      <c r="L27" s="266"/>
      <c r="M27" s="266"/>
      <c r="N27" s="266"/>
    </row>
    <row r="28" spans="2:14" ht="116.25" customHeight="1" x14ac:dyDescent="0.25">
      <c r="B28" s="267" t="s">
        <v>266</v>
      </c>
      <c r="C28" s="267"/>
      <c r="D28" s="267"/>
      <c r="E28" s="267"/>
      <c r="F28" s="267"/>
      <c r="G28" s="267"/>
      <c r="H28" s="267"/>
      <c r="I28" s="267"/>
      <c r="J28" s="267"/>
      <c r="K28" s="267"/>
      <c r="L28" s="267"/>
      <c r="M28" s="267"/>
      <c r="N28" s="267"/>
    </row>
    <row r="29" spans="2:14" ht="27" customHeight="1" x14ac:dyDescent="0.25">
      <c r="B29" s="267"/>
      <c r="C29" s="267"/>
      <c r="D29" s="267"/>
      <c r="E29" s="267"/>
      <c r="F29" s="267"/>
      <c r="G29" s="267"/>
      <c r="H29" s="267"/>
      <c r="I29" s="267"/>
      <c r="J29" s="267"/>
      <c r="K29" s="267"/>
      <c r="L29" s="267"/>
      <c r="M29" s="267"/>
      <c r="N29" s="267"/>
    </row>
  </sheetData>
  <mergeCells count="44">
    <mergeCell ref="M21:N21"/>
    <mergeCell ref="M22:N22"/>
    <mergeCell ref="B5:N5"/>
    <mergeCell ref="B10:D10"/>
    <mergeCell ref="E10:F10"/>
    <mergeCell ref="G10:H10"/>
    <mergeCell ref="I10:J10"/>
    <mergeCell ref="K10:L10"/>
    <mergeCell ref="M10:N10"/>
    <mergeCell ref="B11:B16"/>
    <mergeCell ref="C11:C13"/>
    <mergeCell ref="C14:C16"/>
    <mergeCell ref="E21:F21"/>
    <mergeCell ref="G21:H21"/>
    <mergeCell ref="K21:L21"/>
    <mergeCell ref="B22:C22"/>
    <mergeCell ref="E22:F22"/>
    <mergeCell ref="G22:H22"/>
    <mergeCell ref="I22:J22"/>
    <mergeCell ref="K22:L22"/>
    <mergeCell ref="I21:J21"/>
    <mergeCell ref="M25:N25"/>
    <mergeCell ref="C24:D24"/>
    <mergeCell ref="E24:F24"/>
    <mergeCell ref="G24:H24"/>
    <mergeCell ref="I24:J24"/>
    <mergeCell ref="K24:L24"/>
    <mergeCell ref="M24:N24"/>
    <mergeCell ref="B27:N27"/>
    <mergeCell ref="B28:N28"/>
    <mergeCell ref="B29:N29"/>
    <mergeCell ref="B17:B19"/>
    <mergeCell ref="C17:C19"/>
    <mergeCell ref="C26:D26"/>
    <mergeCell ref="E26:F26"/>
    <mergeCell ref="G26:H26"/>
    <mergeCell ref="I26:J26"/>
    <mergeCell ref="K26:L26"/>
    <mergeCell ref="M26:N26"/>
    <mergeCell ref="C25:D25"/>
    <mergeCell ref="E25:F25"/>
    <mergeCell ref="G25:H25"/>
    <mergeCell ref="I25:J25"/>
    <mergeCell ref="K25:L25"/>
  </mergeCells>
  <pageMargins left="0.7" right="0.7" top="0.75" bottom="0.75" header="0.3" footer="0.3"/>
  <pageSetup scale="87" fitToWidth="0" orientation="landscape" r:id="rId1"/>
  <ignoredErrors>
    <ignoredError sqref="G11:L13 G16:L20 G14:G15 I14:I15 K14:K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A583-C6BE-4CB8-B37B-083863D6D558}">
  <sheetPr>
    <pageSetUpPr fitToPage="1"/>
  </sheetPr>
  <dimension ref="A1:AC89"/>
  <sheetViews>
    <sheetView view="pageBreakPreview" zoomScale="85" zoomScaleNormal="115" zoomScaleSheetLayoutView="85" workbookViewId="0"/>
  </sheetViews>
  <sheetFormatPr defaultColWidth="8.85546875" defaultRowHeight="12.75" x14ac:dyDescent="0.2"/>
  <cols>
    <col min="1" max="1" width="24.140625" style="1" customWidth="1"/>
    <col min="2" max="2" width="8.140625" style="59" customWidth="1"/>
    <col min="3" max="3" width="12.5703125" style="3" customWidth="1"/>
    <col min="4" max="18" width="12" style="13" customWidth="1"/>
    <col min="19" max="21" width="12" style="13" hidden="1" customWidth="1"/>
    <col min="22" max="24" width="12" style="13" customWidth="1"/>
    <col min="25" max="27" width="16.5703125" style="13" customWidth="1"/>
    <col min="28" max="29" width="12" style="1" customWidth="1"/>
    <col min="30" max="16384" width="8.85546875" style="1"/>
  </cols>
  <sheetData>
    <row r="1" spans="1:29" ht="16.899999999999999" customHeight="1" x14ac:dyDescent="0.25">
      <c r="A1" s="106" t="s">
        <v>252</v>
      </c>
      <c r="B1" s="56"/>
    </row>
    <row r="2" spans="1:29" ht="16.5" customHeight="1" x14ac:dyDescent="0.2">
      <c r="A2" s="26" t="s">
        <v>174</v>
      </c>
      <c r="B2" s="57"/>
      <c r="E2" s="1"/>
    </row>
    <row r="3" spans="1:29" ht="16.5" customHeight="1" x14ac:dyDescent="0.2">
      <c r="A3" s="330" t="s">
        <v>267</v>
      </c>
      <c r="B3" s="57"/>
      <c r="E3" s="26"/>
      <c r="N3" s="16"/>
      <c r="O3" s="16"/>
    </row>
    <row r="4" spans="1:29" ht="16.5" customHeight="1" x14ac:dyDescent="0.2">
      <c r="A4" s="26" t="s">
        <v>165</v>
      </c>
      <c r="B4" s="57"/>
      <c r="T4" s="13" t="s">
        <v>178</v>
      </c>
      <c r="U4" s="13" t="s">
        <v>179</v>
      </c>
    </row>
    <row r="5" spans="1:29" x14ac:dyDescent="0.2">
      <c r="A5" s="26"/>
      <c r="B5" s="57"/>
    </row>
    <row r="6" spans="1:29" ht="28.5" customHeight="1" x14ac:dyDescent="0.2">
      <c r="A6" s="26"/>
      <c r="B6" s="57"/>
      <c r="G6" s="137" t="s">
        <v>230</v>
      </c>
      <c r="H6" s="138"/>
      <c r="I6" s="137" t="s">
        <v>232</v>
      </c>
      <c r="J6" s="138"/>
      <c r="K6" s="137" t="s">
        <v>231</v>
      </c>
      <c r="L6" s="138"/>
      <c r="M6" s="138"/>
      <c r="N6" s="138"/>
      <c r="O6" s="137" t="s">
        <v>233</v>
      </c>
      <c r="Q6" s="16"/>
    </row>
    <row r="7" spans="1:29" x14ac:dyDescent="0.2">
      <c r="A7" s="27"/>
      <c r="B7" s="58"/>
      <c r="C7" s="27"/>
      <c r="D7" s="27"/>
      <c r="E7" s="27"/>
      <c r="F7" s="16" t="s">
        <v>89</v>
      </c>
      <c r="G7" s="29">
        <v>0.64500000000000002</v>
      </c>
      <c r="H7" s="16"/>
      <c r="I7" s="32">
        <v>0.38</v>
      </c>
      <c r="J7" s="16"/>
      <c r="K7" s="33">
        <v>0.57999999999999996</v>
      </c>
      <c r="L7" s="16"/>
      <c r="M7" s="16"/>
      <c r="N7" s="16"/>
      <c r="O7" s="33">
        <v>0.57999999999999996</v>
      </c>
      <c r="S7" s="13" t="s">
        <v>185</v>
      </c>
      <c r="T7" s="31">
        <f>570/490</f>
        <v>1.1632653061224489</v>
      </c>
      <c r="U7" s="17">
        <v>1.1632653061224489</v>
      </c>
    </row>
    <row r="8" spans="1:29" x14ac:dyDescent="0.2">
      <c r="D8" s="16"/>
      <c r="E8" s="16"/>
      <c r="F8" s="16" t="s">
        <v>93</v>
      </c>
      <c r="G8" s="30">
        <v>0.64500000000000002</v>
      </c>
      <c r="H8" s="16"/>
      <c r="I8" s="30">
        <v>0.38</v>
      </c>
      <c r="J8" s="16"/>
      <c r="K8" s="31">
        <v>0.57999999999999996</v>
      </c>
      <c r="L8" s="16"/>
      <c r="M8" s="16"/>
      <c r="N8" s="16"/>
      <c r="O8" s="31">
        <v>0.57999999999999996</v>
      </c>
      <c r="P8" s="16"/>
      <c r="Q8" s="16"/>
      <c r="R8" s="16"/>
      <c r="S8" s="16" t="s">
        <v>186</v>
      </c>
      <c r="T8" s="31">
        <f>334/570</f>
        <v>0.5859649122807018</v>
      </c>
      <c r="U8" s="17">
        <v>0.5859649122807018</v>
      </c>
      <c r="Y8" s="16"/>
      <c r="Z8" s="16"/>
      <c r="AA8" s="16"/>
    </row>
    <row r="9" spans="1:29" s="51" customFormat="1" x14ac:dyDescent="0.2">
      <c r="B9" s="60"/>
      <c r="C9" s="52"/>
      <c r="D9" s="53"/>
      <c r="E9" s="53"/>
      <c r="F9" s="53"/>
      <c r="G9" s="32"/>
      <c r="H9" s="53"/>
      <c r="I9" s="32"/>
      <c r="J9" s="53"/>
      <c r="K9" s="33"/>
      <c r="L9" s="53"/>
      <c r="M9" s="53"/>
      <c r="N9" s="53"/>
      <c r="O9" s="33"/>
      <c r="P9" s="53"/>
      <c r="Q9" s="53"/>
      <c r="R9" s="53"/>
      <c r="S9" s="53"/>
      <c r="T9" s="53"/>
      <c r="U9" s="53"/>
      <c r="V9" s="53"/>
      <c r="W9" s="53"/>
      <c r="X9" s="53"/>
      <c r="Y9" s="53"/>
      <c r="Z9" s="53"/>
      <c r="AA9" s="53"/>
    </row>
    <row r="10" spans="1:29" x14ac:dyDescent="0.2">
      <c r="D10" s="15" t="s">
        <v>57</v>
      </c>
      <c r="E10" s="15" t="s">
        <v>58</v>
      </c>
      <c r="F10" s="15" t="s">
        <v>59</v>
      </c>
      <c r="G10" s="15" t="s">
        <v>60</v>
      </c>
      <c r="H10" s="15" t="s">
        <v>61</v>
      </c>
      <c r="I10" s="15" t="s">
        <v>62</v>
      </c>
      <c r="J10" s="15" t="s">
        <v>69</v>
      </c>
      <c r="K10" s="15" t="s">
        <v>70</v>
      </c>
      <c r="L10" s="15" t="s">
        <v>71</v>
      </c>
      <c r="M10" s="15" t="s">
        <v>72</v>
      </c>
      <c r="N10" s="15" t="s">
        <v>73</v>
      </c>
      <c r="O10" s="15" t="s">
        <v>76</v>
      </c>
      <c r="P10" s="15" t="s">
        <v>77</v>
      </c>
      <c r="Q10" s="15" t="s">
        <v>78</v>
      </c>
      <c r="R10" s="15" t="s">
        <v>79</v>
      </c>
      <c r="S10" s="15" t="s">
        <v>82</v>
      </c>
      <c r="T10" s="15" t="s">
        <v>209</v>
      </c>
      <c r="U10" s="15" t="s">
        <v>208</v>
      </c>
      <c r="V10" s="15" t="s">
        <v>88</v>
      </c>
      <c r="W10" s="15" t="s">
        <v>94</v>
      </c>
      <c r="X10" s="15" t="s">
        <v>95</v>
      </c>
      <c r="Y10" s="15" t="s">
        <v>96</v>
      </c>
      <c r="Z10" s="15" t="s">
        <v>98</v>
      </c>
      <c r="AA10" s="15" t="s">
        <v>100</v>
      </c>
      <c r="AB10" s="15" t="s">
        <v>180</v>
      </c>
      <c r="AC10" s="15" t="s">
        <v>181</v>
      </c>
    </row>
    <row r="11" spans="1:29" ht="119.25" customHeight="1" thickBot="1" x14ac:dyDescent="0.25">
      <c r="A11" s="76" t="s">
        <v>44</v>
      </c>
      <c r="B11" s="77" t="s">
        <v>101</v>
      </c>
      <c r="C11" s="78" t="s">
        <v>56</v>
      </c>
      <c r="D11" s="79" t="s">
        <v>163</v>
      </c>
      <c r="E11" s="80" t="s">
        <v>63</v>
      </c>
      <c r="F11" s="80" t="s">
        <v>64</v>
      </c>
      <c r="G11" s="81" t="s">
        <v>65</v>
      </c>
      <c r="H11" s="82" t="s">
        <v>74</v>
      </c>
      <c r="I11" s="83" t="s">
        <v>66</v>
      </c>
      <c r="J11" s="83" t="s">
        <v>67</v>
      </c>
      <c r="K11" s="84" t="s">
        <v>68</v>
      </c>
      <c r="L11" s="79" t="s">
        <v>75</v>
      </c>
      <c r="M11" s="80" t="s">
        <v>214</v>
      </c>
      <c r="N11" s="80" t="s">
        <v>215</v>
      </c>
      <c r="O11" s="85" t="s">
        <v>216</v>
      </c>
      <c r="P11" s="64" t="s">
        <v>212</v>
      </c>
      <c r="Q11" s="65" t="s">
        <v>213</v>
      </c>
      <c r="R11" s="66" t="s">
        <v>86</v>
      </c>
      <c r="S11" s="107" t="s">
        <v>176</v>
      </c>
      <c r="T11" s="107" t="s">
        <v>220</v>
      </c>
      <c r="U11" s="107" t="s">
        <v>177</v>
      </c>
      <c r="V11" s="107" t="s">
        <v>210</v>
      </c>
      <c r="W11" s="107" t="s">
        <v>218</v>
      </c>
      <c r="X11" s="107" t="s">
        <v>217</v>
      </c>
      <c r="Y11" s="107" t="s">
        <v>211</v>
      </c>
      <c r="Z11" s="107" t="s">
        <v>219</v>
      </c>
      <c r="AA11" s="107" t="s">
        <v>197</v>
      </c>
      <c r="AB11" s="86" t="s">
        <v>99</v>
      </c>
      <c r="AC11" s="87" t="s">
        <v>155</v>
      </c>
    </row>
    <row r="12" spans="1:29" s="250" customFormat="1" ht="17.25" customHeight="1" x14ac:dyDescent="0.25">
      <c r="A12" s="88" t="s">
        <v>45</v>
      </c>
      <c r="B12" s="55" t="s">
        <v>102</v>
      </c>
      <c r="C12" s="34"/>
      <c r="D12" s="97">
        <f>SUM(E12:F12)</f>
        <v>10543098</v>
      </c>
      <c r="E12" s="43">
        <v>9106898</v>
      </c>
      <c r="F12" s="43">
        <v>1436200</v>
      </c>
      <c r="G12" s="68">
        <f>F12*G$8</f>
        <v>926349</v>
      </c>
      <c r="H12" s="67">
        <f>SUM(H16:H66)</f>
        <v>2042301.9696000004</v>
      </c>
      <c r="I12" s="43">
        <f>H12*I$8</f>
        <v>776074.74844800017</v>
      </c>
      <c r="J12" s="43">
        <f>H12-I12</f>
        <v>1266227.2211520001</v>
      </c>
      <c r="K12" s="68">
        <f>J12*K$8</f>
        <v>734411.78826816007</v>
      </c>
      <c r="L12" s="67">
        <f>SUM(M12:N12)</f>
        <v>14868900</v>
      </c>
      <c r="M12" s="43">
        <f>SUM(M16:M66)</f>
        <v>11228900</v>
      </c>
      <c r="N12" s="43">
        <f>SUM(N16:N66)</f>
        <v>3640000</v>
      </c>
      <c r="O12" s="68">
        <f>N12*O$8</f>
        <v>2111200</v>
      </c>
      <c r="P12" s="67">
        <f>SUM(F12,J12,N12)</f>
        <v>6342427.2211520001</v>
      </c>
      <c r="Q12" s="43">
        <f>SUM(G12,K12,O12)</f>
        <v>3771960.7882681601</v>
      </c>
      <c r="R12" s="68">
        <f>SUM(G12,I12,K12,M12,O12)</f>
        <v>15776935.536716159</v>
      </c>
      <c r="S12" s="108">
        <f>Table134[[#This Row],[Calculation Field (Avg Subsidy x Average Enrollees)]]/Table134[[#This Row],[2020 Average Count of APTC Enrollees]]</f>
        <v>490.91419237611024</v>
      </c>
      <c r="T12" s="114">
        <f>SUM(T16:T66)</f>
        <v>9106900</v>
      </c>
      <c r="U12" s="108">
        <f t="shared" ref="U12" si="0">SUM(U16:U66)</f>
        <v>4470706458.5499983</v>
      </c>
      <c r="V12" s="108">
        <f>Table134[[#This Row],[2020 Average Subsidy Per Enrollee Per Month]]*$T$7</f>
        <v>571.06344827425062</v>
      </c>
      <c r="W12" s="108">
        <f>Table134[[#This Row],[Estimated Monthly Subsidy Per Enrollee, under 400% FPL]]-Table134[[#This Row],[2020 Average Subsidy Per Enrollee Per Month]]</f>
        <v>80.149255898140382</v>
      </c>
      <c r="X12" s="108">
        <f>Table134[[#This Row],[2020 Average Subsidy Per Enrollee Per Month]]*$T$7*$T$8</f>
        <v>334.62314337473634</v>
      </c>
      <c r="Y12" s="108">
        <f>SUM(Y16:Y66)</f>
        <v>81529653610.689453</v>
      </c>
      <c r="Z12" s="108">
        <f>SUM(Z16:Z66)</f>
        <v>14391146617.031506</v>
      </c>
      <c r="AA12" s="108">
        <f>Table134[[#This Row],[Total Potential Aggregate Annual Subsidy for Newly Eligible,
under 400% FPL]]+Table134[[#This Row],[Total Potential Aggregate Annual Subsidy for Newly Eligible,
above 400% FPL]]</f>
        <v>95920800227.720963</v>
      </c>
      <c r="AB12" s="67">
        <f>SUM(AB16:AB66)</f>
        <v>7291000</v>
      </c>
      <c r="AC12" s="68">
        <f>SUM(AC16:AC66)</f>
        <v>-2822174</v>
      </c>
    </row>
    <row r="13" spans="1:29" s="250" customFormat="1" ht="17.25" customHeight="1" x14ac:dyDescent="0.25">
      <c r="A13" s="89" t="s">
        <v>162</v>
      </c>
      <c r="B13" s="40" t="s">
        <v>53</v>
      </c>
      <c r="C13" s="40" t="s">
        <v>92</v>
      </c>
      <c r="D13" s="69">
        <f>SUM(SUMIFS(D$16:D$66,$C$16:$C$66,{"FFE","SBE-FP"}))</f>
        <v>7077974</v>
      </c>
      <c r="E13" s="39">
        <f>SUM(SUMIFS(E$16:E$66,$C$16:$C$66,{"FFE","SBE-FP"}))</f>
        <v>6382677</v>
      </c>
      <c r="F13" s="39">
        <f>SUM(SUMIFS(F$16:F$66,$C$16:$C$66,{"FFE","SBE-FP"}))</f>
        <v>695297</v>
      </c>
      <c r="G13" s="70">
        <f>SUM(SUMIFS(G$16:G$66,$C$16:$C$66,{"FFE","SBE-FP"}))</f>
        <v>448466.565</v>
      </c>
      <c r="H13" s="69">
        <f>SUM(SUMIFS(H$16:H$66,$C$16:$C$66,{"FFE","SBE-FP"}))</f>
        <v>973498.5196</v>
      </c>
      <c r="I13" s="39">
        <f>SUM(SUMIFS(I$16:I$66,$C$16:$C$66,{"FFE","SBE-FP"}))</f>
        <v>369929.43744800001</v>
      </c>
      <c r="J13" s="39">
        <f>SUM(SUMIFS(J$16:J$66,$C$16:$C$66,{"FFE","SBE-FP"}))</f>
        <v>603569.08215199993</v>
      </c>
      <c r="K13" s="70">
        <f>SUM(SUMIFS(K$16:K$66,$C$16:$C$66,{"FFE","SBE-FP"}))</f>
        <v>350070.06764815992</v>
      </c>
      <c r="L13" s="69">
        <f>SUM(SUMIFS(L$16:L$66,$C$16:$C$66,{"FFE","SBE-FP"}))</f>
        <v>10969600</v>
      </c>
      <c r="M13" s="39">
        <f>SUM(SUMIFS(M$16:M$66,$C$16:$C$66,{"FFE","SBE-FP"}))</f>
        <v>8522400</v>
      </c>
      <c r="N13" s="39">
        <f>SUM(SUMIFS(N$16:N$66,$C$16:$C$66,{"FFE","SBE-FP"}))</f>
        <v>2447200</v>
      </c>
      <c r="O13" s="70">
        <f>SUM(SUMIFS(O$16:O$66,$C$16:$C$66,{"FFE","SBE-FP"}))</f>
        <v>1419376</v>
      </c>
      <c r="P13" s="69">
        <f>SUM(SUMIFS(P$16:P$66,$C$16:$C$66,{"FFE","SBE-FP"}))</f>
        <v>3746066.0821519988</v>
      </c>
      <c r="Q13" s="39">
        <f>SUM(SUMIFS(Q$16:Q$66,$C$16:$C$66,{"FFE","SBE-FP"}))</f>
        <v>2217912.6326481597</v>
      </c>
      <c r="R13" s="70">
        <f>SUM(SUMIFS(R$16:R$66,$C$16:$C$66,{"FFE","SBE-FP"}))</f>
        <v>11110242.070096161</v>
      </c>
      <c r="S13" s="109">
        <f>Table134[[#This Row],[Calculation Field (Avg Subsidy x Average Enrollees)]]/Table134[[#This Row],[2020 Average Count of APTC Enrollees]]</f>
        <v>518.33829549014922</v>
      </c>
      <c r="T13" s="115">
        <f>SUM(SUMIFS(T$16:T$66,$C$16:$C$66,{"FFE","SBE-FP"}))</f>
        <v>6364246</v>
      </c>
      <c r="U13" s="109">
        <f>SUM(SUMIFS(U$16:U$66,$C$16:$C$66,{"FFE","SBE-FP"}))</f>
        <v>3298832423.7200003</v>
      </c>
      <c r="V13" s="109">
        <f>Table134[[#This Row],[2020 Average Subsidy Per Enrollee Per Month]]*$T$7</f>
        <v>602.96495597833677</v>
      </c>
      <c r="W13" s="109">
        <f>Table134[[#This Row],[Estimated Monthly Subsidy Per Enrollee, under 400% FPL]]-Table134[[#This Row],[2020 Average Subsidy Per Enrollee Per Month]]</f>
        <v>84.626660488187554</v>
      </c>
      <c r="X13" s="109">
        <f>Table134[[#This Row],[2020 Average Subsidy Per Enrollee Per Month]]*$T$7*$T$8</f>
        <v>353.31630753818331</v>
      </c>
      <c r="Y13" s="109">
        <f>SUM(SUMIFS(Y$16:Y$66,$C$16:$C$66,{"FFE","SBE-FP"}))</f>
        <v>63119546182.408005</v>
      </c>
      <c r="Z13" s="109">
        <f>SUM(SUMIFS(Z$16:Z$66,$C$16:$C$66,{"FFE","SBE-FP"}))</f>
        <v>9062803349.3208084</v>
      </c>
      <c r="AA13" s="109">
        <f>Table134[[#This Row],[Total Potential Aggregate Annual Subsidy for Newly Eligible,
under 400% FPL]]+Table134[[#This Row],[Total Potential Aggregate Annual Subsidy for Newly Eligible,
above 400% FPL]]</f>
        <v>72182349531.728821</v>
      </c>
      <c r="AB13" s="69">
        <f>SUM(SUMIFS(AB$16:AB$66,$C$16:$C$66,{"FFE","SBE-FP"}))</f>
        <v>4756000</v>
      </c>
      <c r="AC13" s="70">
        <f>SUM(SUMIFS(AC$16:AC$66,$C$16:$C$66,{"FFE","SBE-FP"}))</f>
        <v>-1891464</v>
      </c>
    </row>
    <row r="14" spans="1:29" s="250" customFormat="1" ht="17.25" customHeight="1" x14ac:dyDescent="0.25">
      <c r="A14" s="249" t="s">
        <v>164</v>
      </c>
      <c r="B14" s="98"/>
      <c r="C14" s="99"/>
      <c r="D14" s="100">
        <f t="shared" ref="D14:R14" si="1">D18+D26+D31+D41+D43+D45+D52+D58+D64</f>
        <v>1271066</v>
      </c>
      <c r="E14" s="101">
        <f t="shared" si="1"/>
        <v>1128799</v>
      </c>
      <c r="F14" s="101">
        <f t="shared" si="1"/>
        <v>142267</v>
      </c>
      <c r="G14" s="102">
        <f t="shared" si="1"/>
        <v>91762.214999999997</v>
      </c>
      <c r="H14" s="103">
        <f t="shared" si="1"/>
        <v>56027.861800000006</v>
      </c>
      <c r="I14" s="101">
        <f t="shared" si="1"/>
        <v>21290.587484</v>
      </c>
      <c r="J14" s="101">
        <f t="shared" si="1"/>
        <v>34737.274316000003</v>
      </c>
      <c r="K14" s="102">
        <f t="shared" si="1"/>
        <v>20147.619103279998</v>
      </c>
      <c r="L14" s="103">
        <f t="shared" si="1"/>
        <v>2293000</v>
      </c>
      <c r="M14" s="101">
        <f t="shared" si="1"/>
        <v>1814100</v>
      </c>
      <c r="N14" s="101">
        <f t="shared" si="1"/>
        <v>478900</v>
      </c>
      <c r="O14" s="102">
        <f t="shared" si="1"/>
        <v>277762</v>
      </c>
      <c r="P14" s="103">
        <f t="shared" si="1"/>
        <v>655904.27431599994</v>
      </c>
      <c r="Q14" s="101">
        <f t="shared" si="1"/>
        <v>389671.83410328004</v>
      </c>
      <c r="R14" s="102">
        <f t="shared" si="1"/>
        <v>2225062.42158728</v>
      </c>
      <c r="S14" s="110">
        <f>Table134[[#This Row],[Calculation Field (Avg Subsidy x Average Enrollees)]]/Table134[[#This Row],[2020 Average Count of APTC Enrollees]]</f>
        <v>557.01657269363272</v>
      </c>
      <c r="T14" s="116">
        <f>T18+T26+T31+T41+T43+T45+T52+T58+T64</f>
        <v>1128799</v>
      </c>
      <c r="U14" s="110">
        <f t="shared" ref="U14" si="2">U18+U26+U31+U41+U43+U45+U52+U58+U64</f>
        <v>628759750.23999989</v>
      </c>
      <c r="V14" s="110">
        <f>Table134[[#This Row],[2020 Average Subsidy Per Enrollee Per Month]]*$T$7</f>
        <v>647.95805394973604</v>
      </c>
      <c r="W14" s="110">
        <f>Table134[[#This Row],[Estimated Monthly Subsidy Per Enrollee, under 400% FPL]]-Table134[[#This Row],[2020 Average Subsidy Per Enrollee Per Month]]</f>
        <v>90.941481256103316</v>
      </c>
      <c r="X14" s="110">
        <f>Table134[[#This Row],[2020 Average Subsidy Per Enrollee Per Month]]*$T$7*$T$8</f>
        <v>379.68068424423132</v>
      </c>
      <c r="Y14" s="110">
        <f>Y18+Y26+Y31+Y41+Y43+Y45+Y52+Y58+Y64</f>
        <v>14093819797.974567</v>
      </c>
      <c r="Z14" s="110">
        <f>Z18+Z26+Z31+Z41+Z43+Z45+Z52+Z58+Z64</f>
        <v>1742352506.7036905</v>
      </c>
      <c r="AA14" s="110">
        <f>Table134[[#This Row],[Total Potential Aggregate Annual Subsidy for Newly Eligible,
under 400% FPL]]+Table134[[#This Row],[Total Potential Aggregate Annual Subsidy for Newly Eligible,
above 400% FPL]]</f>
        <v>15836172304.678257</v>
      </c>
      <c r="AB14" s="103">
        <f>AB18+AB26+AB31+AB41+AB43+AB45+AB52+AB58+AB64</f>
        <v>1304000</v>
      </c>
      <c r="AC14" s="102">
        <f>AC18+AC26+AC31+AC41+AC43+AC45+AC52+AC58+AC64</f>
        <v>-577630</v>
      </c>
    </row>
    <row r="15" spans="1:29" s="250" customFormat="1" ht="17.25" customHeight="1" thickBot="1" x14ac:dyDescent="0.3">
      <c r="A15" s="91" t="s">
        <v>161</v>
      </c>
      <c r="B15" s="46" t="s">
        <v>103</v>
      </c>
      <c r="C15" s="46" t="s">
        <v>55</v>
      </c>
      <c r="D15" s="71">
        <f t="shared" ref="D15:R15" si="3">SUMIF($C$16:$C$66,"SBE",D$16:D$66)</f>
        <v>3465129</v>
      </c>
      <c r="E15" s="47">
        <f t="shared" si="3"/>
        <v>2724223</v>
      </c>
      <c r="F15" s="47">
        <f t="shared" si="3"/>
        <v>740906</v>
      </c>
      <c r="G15" s="72">
        <f t="shared" si="3"/>
        <v>477884.37</v>
      </c>
      <c r="H15" s="71">
        <f t="shared" si="3"/>
        <v>1068803.45</v>
      </c>
      <c r="I15" s="47">
        <f t="shared" si="3"/>
        <v>406145.3110000001</v>
      </c>
      <c r="J15" s="47">
        <f t="shared" si="3"/>
        <v>662658.13899999997</v>
      </c>
      <c r="K15" s="72">
        <f t="shared" si="3"/>
        <v>384341.72061999992</v>
      </c>
      <c r="L15" s="71">
        <f t="shared" si="3"/>
        <v>3899300</v>
      </c>
      <c r="M15" s="47">
        <f t="shared" si="3"/>
        <v>2706500</v>
      </c>
      <c r="N15" s="47">
        <f t="shared" si="3"/>
        <v>1192800</v>
      </c>
      <c r="O15" s="72">
        <f t="shared" si="3"/>
        <v>691824</v>
      </c>
      <c r="P15" s="71">
        <f t="shared" si="3"/>
        <v>2596364.1389999995</v>
      </c>
      <c r="Q15" s="47">
        <f t="shared" si="3"/>
        <v>1554050.0906199999</v>
      </c>
      <c r="R15" s="72">
        <f t="shared" si="3"/>
        <v>4666695.4016199987</v>
      </c>
      <c r="S15" s="111">
        <f>Table134[[#This Row],[Calculation Field (Avg Subsidy x Average Enrollees)]]/Table134[[#This Row],[2020 Average Count of APTC Enrollees]]</f>
        <v>427.27738709658598</v>
      </c>
      <c r="T15" s="117">
        <f>SUMIF($C$16:$C$66,"SBE",T$16:T$66)</f>
        <v>2742654</v>
      </c>
      <c r="U15" s="111">
        <f t="shared" ref="U15" si="4">SUMIF($C$16:$C$66,"SBE",U$16:U$66)</f>
        <v>1171874034.8299999</v>
      </c>
      <c r="V15" s="111">
        <f>Table134[[#This Row],[2020 Average Subsidy Per Enrollee Per Month]]*$T$7</f>
        <v>497.03696050011018</v>
      </c>
      <c r="W15" s="111">
        <f>Table134[[#This Row],[Estimated Monthly Subsidy Per Enrollee, under 400% FPL]]-Table134[[#This Row],[2020 Average Subsidy Per Enrollee Per Month]]</f>
        <v>69.7595734035242</v>
      </c>
      <c r="X15" s="111">
        <f>Table134[[#This Row],[2020 Average Subsidy Per Enrollee Per Month]]*$T$7*$T$8</f>
        <v>291.2462189597137</v>
      </c>
      <c r="Y15" s="111">
        <f>SUMIF($C$16:$C$66,"SBE",Y$16:Y$66)</f>
        <v>18410107428.281452</v>
      </c>
      <c r="Z15" s="111">
        <f>SUMIF($C$16:$C$66,"SBE",Z$16:Z$66)</f>
        <v>5328343267.7106991</v>
      </c>
      <c r="AA15" s="111">
        <f>Table134[[#This Row],[Total Potential Aggregate Annual Subsidy for Newly Eligible,
under 400% FPL]]+Table134[[#This Row],[Total Potential Aggregate Annual Subsidy for Newly Eligible,
above 400% FPL]]</f>
        <v>23738450695.992149</v>
      </c>
      <c r="AB15" s="71">
        <f>SUMIF($C$16:$C$66,"SBE",AB$16:AB$66)</f>
        <v>2535000</v>
      </c>
      <c r="AC15" s="72">
        <f>SUMIF($C$16:$C$66,"SBE",AC$16:AC$66)</f>
        <v>-930710</v>
      </c>
    </row>
    <row r="16" spans="1:29" s="250" customFormat="1" ht="17.25" customHeight="1" x14ac:dyDescent="0.25">
      <c r="A16" s="90" t="s">
        <v>0</v>
      </c>
      <c r="B16" s="54" t="s">
        <v>104</v>
      </c>
      <c r="C16" s="8" t="s">
        <v>53</v>
      </c>
      <c r="D16" s="18">
        <f t="shared" ref="D16:D47" si="5">SUM(E16:F16)</f>
        <v>145862</v>
      </c>
      <c r="E16" s="19">
        <v>137949</v>
      </c>
      <c r="F16" s="19">
        <v>7913</v>
      </c>
      <c r="G16" s="20">
        <f t="shared" ref="G16:G47" si="6">F16*G$8</f>
        <v>5103.8850000000002</v>
      </c>
      <c r="H16" s="23">
        <v>27670.52</v>
      </c>
      <c r="I16" s="19">
        <f t="shared" ref="I16:I23" si="7">H16*I$8</f>
        <v>10514.7976</v>
      </c>
      <c r="J16" s="19">
        <f t="shared" ref="J16:J23" si="8">H16-I16</f>
        <v>17155.722399999999</v>
      </c>
      <c r="K16" s="20">
        <f t="shared" ref="K16:K23" si="9">J16*K$8</f>
        <v>9950.3189919999986</v>
      </c>
      <c r="L16" s="23">
        <f t="shared" ref="L16:L47" si="10">SUM(M16:N16)</f>
        <v>231000</v>
      </c>
      <c r="M16" s="19">
        <v>190600</v>
      </c>
      <c r="N16" s="19">
        <v>40400</v>
      </c>
      <c r="O16" s="63">
        <f t="shared" ref="O16:O47" si="11">N16*O$8</f>
        <v>23432</v>
      </c>
      <c r="P16" s="23">
        <f t="shared" ref="P16:P47" si="12">SUM(F16,J16,N16)</f>
        <v>65468.722399999999</v>
      </c>
      <c r="Q16" s="19">
        <f t="shared" ref="Q16:Q47" si="13">SUM(G16,K16,O16)</f>
        <v>38486.203991999995</v>
      </c>
      <c r="R16" s="20">
        <f t="shared" ref="R16:R47" si="14">SUM(G16,I16,K16,M16,O16)</f>
        <v>239601.00159200002</v>
      </c>
      <c r="S16" s="112">
        <v>627.1</v>
      </c>
      <c r="T16" s="118">
        <v>137949</v>
      </c>
      <c r="U16" s="112">
        <f>Table134[[#This Row],[2020 Average Subsidy Per Enrollee Per Month]]*Table134[[#This Row],[2020 Average Count of APTC Enrollees]]</f>
        <v>86507817.900000006</v>
      </c>
      <c r="V16" s="112">
        <f>Table134[[#This Row],[2020 Average Subsidy Per Enrollee Per Month]]*$T$7</f>
        <v>729.48367346938778</v>
      </c>
      <c r="W16" s="112">
        <f>Table134[[#This Row],[Estimated Monthly Subsidy Per Enrollee, under 400% FPL]]-Table134[[#This Row],[2020 Average Subsidy Per Enrollee Per Month]]</f>
        <v>102.38367346938776</v>
      </c>
      <c r="X16" s="112">
        <f>Table134[[#This Row],[2020 Average Subsidy Per Enrollee Per Month]]*$T$7*$T$8</f>
        <v>427.45183673469393</v>
      </c>
      <c r="Y16" s="112">
        <f>Table134[[#This Row],[Estimated Monthly Subsidy Per Enrollee, under 400% FPL]]*(Table134[[#This Row],[ Off-Exchange  Enrollment, below 400% FPL ]]+Table134[[#This Row],[Uninsured Marketplace Eligible, Below 400% FPL ]])*12</f>
        <v>1760519536.107605</v>
      </c>
      <c r="Z16"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197411983.02391815</v>
      </c>
      <c r="AA16" s="112">
        <f>Table134[[#This Row],[Total Potential Aggregate Annual Subsidy for Newly Eligible,
under 400% FPL]]+Table134[[#This Row],[Total Potential Aggregate Annual Subsidy for Newly Eligible,
above 400% FPL]]</f>
        <v>1957931519.1315231</v>
      </c>
      <c r="AB16" s="23">
        <v>43000</v>
      </c>
      <c r="AC16" s="20">
        <v>-40776</v>
      </c>
    </row>
    <row r="17" spans="1:29" s="250" customFormat="1" ht="17.25" customHeight="1" x14ac:dyDescent="0.25">
      <c r="A17" s="90" t="s">
        <v>1</v>
      </c>
      <c r="B17" s="54" t="s">
        <v>105</v>
      </c>
      <c r="C17" s="8" t="s">
        <v>53</v>
      </c>
      <c r="D17" s="18">
        <f t="shared" si="5"/>
        <v>16232</v>
      </c>
      <c r="E17" s="19">
        <v>13649</v>
      </c>
      <c r="F17" s="19">
        <v>2583</v>
      </c>
      <c r="G17" s="20">
        <f t="shared" si="6"/>
        <v>1666.0350000000001</v>
      </c>
      <c r="H17" s="23">
        <v>1171.3219999999999</v>
      </c>
      <c r="I17" s="19">
        <f t="shared" si="7"/>
        <v>445.10235999999998</v>
      </c>
      <c r="J17" s="19">
        <f t="shared" si="8"/>
        <v>726.21963999999991</v>
      </c>
      <c r="K17" s="20">
        <f t="shared" si="9"/>
        <v>421.2073911999999</v>
      </c>
      <c r="L17" s="23">
        <f t="shared" si="10"/>
        <v>48100</v>
      </c>
      <c r="M17" s="19">
        <v>37100</v>
      </c>
      <c r="N17" s="19">
        <v>11000</v>
      </c>
      <c r="O17" s="63">
        <f t="shared" si="11"/>
        <v>6380</v>
      </c>
      <c r="P17" s="23">
        <f t="shared" si="12"/>
        <v>14309.219639999999</v>
      </c>
      <c r="Q17" s="19">
        <f t="shared" si="13"/>
        <v>8467.2423911999995</v>
      </c>
      <c r="R17" s="20">
        <f t="shared" si="14"/>
        <v>46012.344751199998</v>
      </c>
      <c r="S17" s="112">
        <v>668.57</v>
      </c>
      <c r="T17" s="118">
        <v>13649</v>
      </c>
      <c r="U17" s="112">
        <f>Table134[[#This Row],[2020 Average Subsidy Per Enrollee Per Month]]*Table134[[#This Row],[2020 Average Count of APTC Enrollees]]</f>
        <v>9125311.9300000016</v>
      </c>
      <c r="V17" s="112">
        <f>Table134[[#This Row],[2020 Average Subsidy Per Enrollee Per Month]]*$T$7</f>
        <v>777.72428571428577</v>
      </c>
      <c r="W17" s="112">
        <f>Table134[[#This Row],[Estimated Monthly Subsidy Per Enrollee, under 400% FPL]]-Table134[[#This Row],[2020 Average Subsidy Per Enrollee Per Month]]</f>
        <v>109.15428571428572</v>
      </c>
      <c r="X17" s="112">
        <f>Table134[[#This Row],[2020 Average Subsidy Per Enrollee Per Month]]*$T$7*$T$8</f>
        <v>455.71914285714291</v>
      </c>
      <c r="Y17" s="112">
        <f>Table134[[#This Row],[Estimated Monthly Subsidy Per Enrollee, under 400% FPL]]*(Table134[[#This Row],[ Off-Exchange  Enrollment, below 400% FPL ]]+Table134[[#This Row],[Uninsured Marketplace Eligible, Below 400% FPL ]])*12</f>
        <v>350396854.98000896</v>
      </c>
      <c r="Z17"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46304213.338575944</v>
      </c>
      <c r="AA17" s="112">
        <f>Table134[[#This Row],[Total Potential Aggregate Annual Subsidy for Newly Eligible,
under 400% FPL]]+Table134[[#This Row],[Total Potential Aggregate Annual Subsidy for Newly Eligible,
above 400% FPL]]</f>
        <v>396701068.31858492</v>
      </c>
      <c r="AB17" s="23">
        <v>31000</v>
      </c>
      <c r="AC17" s="20">
        <v>-252</v>
      </c>
    </row>
    <row r="18" spans="1:29" s="250" customFormat="1" ht="17.25" customHeight="1" x14ac:dyDescent="0.25">
      <c r="A18" s="90" t="s">
        <v>2</v>
      </c>
      <c r="B18" s="54" t="s">
        <v>106</v>
      </c>
      <c r="C18" s="8" t="s">
        <v>53</v>
      </c>
      <c r="D18" s="18">
        <f t="shared" si="5"/>
        <v>139179</v>
      </c>
      <c r="E18" s="19">
        <v>112223</v>
      </c>
      <c r="F18" s="19">
        <v>26956</v>
      </c>
      <c r="G18" s="20">
        <f t="shared" si="6"/>
        <v>17386.62</v>
      </c>
      <c r="H18" s="23">
        <v>2379.625</v>
      </c>
      <c r="I18" s="19">
        <f t="shared" si="7"/>
        <v>904.25750000000005</v>
      </c>
      <c r="J18" s="19">
        <f t="shared" si="8"/>
        <v>1475.3674999999998</v>
      </c>
      <c r="K18" s="20">
        <f t="shared" si="9"/>
        <v>855.71314999999981</v>
      </c>
      <c r="L18" s="23">
        <f t="shared" si="10"/>
        <v>367900</v>
      </c>
      <c r="M18" s="19">
        <v>278600</v>
      </c>
      <c r="N18" s="19">
        <v>89300</v>
      </c>
      <c r="O18" s="63">
        <f t="shared" si="11"/>
        <v>51794</v>
      </c>
      <c r="P18" s="23">
        <f t="shared" si="12"/>
        <v>117731.36749999999</v>
      </c>
      <c r="Q18" s="19">
        <f t="shared" si="13"/>
        <v>70036.333149999991</v>
      </c>
      <c r="R18" s="20">
        <f t="shared" si="14"/>
        <v>349540.59065000003</v>
      </c>
      <c r="S18" s="112">
        <v>469.09</v>
      </c>
      <c r="T18" s="118">
        <v>112223</v>
      </c>
      <c r="U18" s="112">
        <f>Table134[[#This Row],[2020 Average Subsidy Per Enrollee Per Month]]*Table134[[#This Row],[2020 Average Count of APTC Enrollees]]</f>
        <v>52642687.07</v>
      </c>
      <c r="V18" s="112">
        <f>Table134[[#This Row],[2020 Average Subsidy Per Enrollee Per Month]]*$T$7</f>
        <v>545.67612244897953</v>
      </c>
      <c r="W18" s="112">
        <f>Table134[[#This Row],[Estimated Monthly Subsidy Per Enrollee, under 400% FPL]]-Table134[[#This Row],[2020 Average Subsidy Per Enrollee Per Month]]</f>
        <v>76.586122448979552</v>
      </c>
      <c r="X18" s="112">
        <f>Table134[[#This Row],[2020 Average Subsidy Per Enrollee Per Month]]*$T$7*$T$8</f>
        <v>319.74706122448976</v>
      </c>
      <c r="Y18" s="112">
        <f>Table134[[#This Row],[Estimated Monthly Subsidy Per Enrollee, under 400% FPL]]*(Table134[[#This Row],[ Off-Exchange  Enrollment, below 400% FPL ]]+Table134[[#This Row],[Uninsured Marketplace Eligible, Below 400% FPL ]])*12</f>
        <v>1830225593.2869735</v>
      </c>
      <c r="Z18"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268726940.44382173</v>
      </c>
      <c r="AA18" s="112">
        <f>Table134[[#This Row],[Total Potential Aggregate Annual Subsidy for Newly Eligible,
under 400% FPL]]+Table134[[#This Row],[Total Potential Aggregate Annual Subsidy for Newly Eligible,
above 400% FPL]]</f>
        <v>2098952533.7307951</v>
      </c>
      <c r="AB18" s="23">
        <v>284000</v>
      </c>
      <c r="AC18" s="20">
        <v>-88270</v>
      </c>
    </row>
    <row r="19" spans="1:29" s="250" customFormat="1" ht="17.25" customHeight="1" x14ac:dyDescent="0.25">
      <c r="A19" s="90" t="s">
        <v>3</v>
      </c>
      <c r="B19" s="54" t="s">
        <v>107</v>
      </c>
      <c r="C19" s="8" t="s">
        <v>54</v>
      </c>
      <c r="D19" s="18">
        <f t="shared" si="5"/>
        <v>58486</v>
      </c>
      <c r="E19" s="19">
        <v>51392</v>
      </c>
      <c r="F19" s="19">
        <v>7094</v>
      </c>
      <c r="G19" s="20">
        <f t="shared" si="6"/>
        <v>4575.63</v>
      </c>
      <c r="H19" s="23">
        <v>220351.3</v>
      </c>
      <c r="I19" s="19">
        <f t="shared" si="7"/>
        <v>83733.493999999992</v>
      </c>
      <c r="J19" s="19">
        <f t="shared" si="8"/>
        <v>136617.80599999998</v>
      </c>
      <c r="K19" s="20">
        <f t="shared" si="9"/>
        <v>79238.327479999978</v>
      </c>
      <c r="L19" s="23">
        <f t="shared" si="10"/>
        <v>125800</v>
      </c>
      <c r="M19" s="19">
        <v>106300</v>
      </c>
      <c r="N19" s="19">
        <v>19500</v>
      </c>
      <c r="O19" s="63">
        <f t="shared" si="11"/>
        <v>11310</v>
      </c>
      <c r="P19" s="23">
        <f t="shared" si="12"/>
        <v>163211.80599999998</v>
      </c>
      <c r="Q19" s="19">
        <f t="shared" si="13"/>
        <v>95123.957479999983</v>
      </c>
      <c r="R19" s="20">
        <f t="shared" si="14"/>
        <v>285157.45147999999</v>
      </c>
      <c r="S19" s="112">
        <v>382.21</v>
      </c>
      <c r="T19" s="118">
        <v>51392</v>
      </c>
      <c r="U19" s="112">
        <f>Table134[[#This Row],[2020 Average Subsidy Per Enrollee Per Month]]*Table134[[#This Row],[2020 Average Count of APTC Enrollees]]</f>
        <v>19642536.32</v>
      </c>
      <c r="V19" s="112">
        <f>Table134[[#This Row],[2020 Average Subsidy Per Enrollee Per Month]]*$T$7</f>
        <v>444.61163265306118</v>
      </c>
      <c r="W19" s="112">
        <f>Table134[[#This Row],[Estimated Monthly Subsidy Per Enrollee, under 400% FPL]]-Table134[[#This Row],[2020 Average Subsidy Per Enrollee Per Month]]</f>
        <v>62.401632653061199</v>
      </c>
      <c r="X19" s="112">
        <f>Table134[[#This Row],[2020 Average Subsidy Per Enrollee Per Month]]*$T$7*$T$8</f>
        <v>260.52681632653059</v>
      </c>
      <c r="Y19" s="112">
        <f>Table134[[#This Row],[Estimated Monthly Subsidy Per Enrollee, under 400% FPL]]*(Table134[[#This Row],[ Off-Exchange  Enrollment, below 400% FPL ]]+Table134[[#This Row],[Uninsured Marketplace Eligible, Below 400% FPL ]])*12</f>
        <v>1013893224.3132684</v>
      </c>
      <c r="Z19"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297388101.58373594</v>
      </c>
      <c r="AA19" s="112">
        <f>Table134[[#This Row],[Total Potential Aggregate Annual Subsidy for Newly Eligible,
under 400% FPL]]+Table134[[#This Row],[Total Potential Aggregate Annual Subsidy for Newly Eligible,
above 400% FPL]]</f>
        <v>1311281325.8970044</v>
      </c>
      <c r="AB19" s="23">
        <v>115000</v>
      </c>
      <c r="AC19" s="20">
        <v>-55065</v>
      </c>
    </row>
    <row r="20" spans="1:29" s="250" customFormat="1" ht="17.25" customHeight="1" x14ac:dyDescent="0.25">
      <c r="A20" s="90" t="s">
        <v>169</v>
      </c>
      <c r="B20" s="54" t="s">
        <v>108</v>
      </c>
      <c r="C20" s="8" t="s">
        <v>55</v>
      </c>
      <c r="D20" s="18">
        <f t="shared" si="5"/>
        <v>1490854</v>
      </c>
      <c r="E20" s="19">
        <v>1271278</v>
      </c>
      <c r="F20" s="19">
        <v>219576</v>
      </c>
      <c r="G20" s="20">
        <f t="shared" si="6"/>
        <v>141626.51999999999</v>
      </c>
      <c r="H20" s="23">
        <v>586012.5</v>
      </c>
      <c r="I20" s="19">
        <f t="shared" si="7"/>
        <v>222684.75</v>
      </c>
      <c r="J20" s="19">
        <f t="shared" si="8"/>
        <v>363327.75</v>
      </c>
      <c r="K20" s="20">
        <f t="shared" si="9"/>
        <v>210730.09499999997</v>
      </c>
      <c r="L20" s="23">
        <f t="shared" si="10"/>
        <v>1382600</v>
      </c>
      <c r="M20" s="19">
        <v>988600</v>
      </c>
      <c r="N20" s="19">
        <v>394000</v>
      </c>
      <c r="O20" s="63">
        <f t="shared" si="11"/>
        <v>228519.99999999997</v>
      </c>
      <c r="P20" s="23">
        <f t="shared" si="12"/>
        <v>976903.75</v>
      </c>
      <c r="Q20" s="19">
        <f t="shared" si="13"/>
        <v>580876.61499999999</v>
      </c>
      <c r="R20" s="20">
        <f t="shared" si="14"/>
        <v>1792161.365</v>
      </c>
      <c r="S20" s="112">
        <v>452.96</v>
      </c>
      <c r="T20" s="118">
        <v>1271278</v>
      </c>
      <c r="U20" s="112">
        <f>Table134[[#This Row],[2020 Average Subsidy Per Enrollee Per Month]]*Table134[[#This Row],[2020 Average Count of APTC Enrollees]]</f>
        <v>575838082.88</v>
      </c>
      <c r="V20" s="112">
        <f>Table134[[#This Row],[2020 Average Subsidy Per Enrollee Per Month]]*$T$7</f>
        <v>526.91265306122443</v>
      </c>
      <c r="W20" s="112">
        <f>Table134[[#This Row],[Estimated Monthly Subsidy Per Enrollee, under 400% FPL]]-Table134[[#This Row],[2020 Average Subsidy Per Enrollee Per Month]]</f>
        <v>73.952653061224453</v>
      </c>
      <c r="X20" s="112">
        <f>Table134[[#This Row],[2020 Average Subsidy Per Enrollee Per Month]]*$T$7*$T$8</f>
        <v>308.75232653061221</v>
      </c>
      <c r="Y20" s="112">
        <f>Table134[[#This Row],[Estimated Monthly Subsidy Per Enrollee, under 400% FPL]]*(Table134[[#This Row],[ Off-Exchange  Enrollment, below 400% FPL ]]+Table134[[#This Row],[Uninsured Marketplace Eligible, Below 400% FPL ]])*12</f>
        <v>7658895134.8212233</v>
      </c>
      <c r="Z20"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2152164075.7017207</v>
      </c>
      <c r="AA20" s="112">
        <f>Table134[[#This Row],[Total Potential Aggregate Annual Subsidy for Newly Eligible,
under 400% FPL]]+Table134[[#This Row],[Total Potential Aggregate Annual Subsidy for Newly Eligible,
above 400% FPL]]</f>
        <v>9811059210.5229435</v>
      </c>
      <c r="AB20" s="23">
        <v>950000</v>
      </c>
      <c r="AC20" s="20">
        <v>-221710</v>
      </c>
    </row>
    <row r="21" spans="1:29" s="250" customFormat="1" ht="17.25" customHeight="1" x14ac:dyDescent="0.25">
      <c r="A21" s="90" t="s">
        <v>4</v>
      </c>
      <c r="B21" s="54" t="s">
        <v>109</v>
      </c>
      <c r="C21" s="8" t="s">
        <v>55</v>
      </c>
      <c r="D21" s="18">
        <f t="shared" si="5"/>
        <v>155143</v>
      </c>
      <c r="E21" s="19">
        <v>114596</v>
      </c>
      <c r="F21" s="19">
        <v>40547</v>
      </c>
      <c r="G21" s="20">
        <f t="shared" si="6"/>
        <v>26152.815000000002</v>
      </c>
      <c r="H21" s="23">
        <v>49647.25</v>
      </c>
      <c r="I21" s="19">
        <f t="shared" si="7"/>
        <v>18865.955000000002</v>
      </c>
      <c r="J21" s="19">
        <f t="shared" si="8"/>
        <v>30781.294999999998</v>
      </c>
      <c r="K21" s="20">
        <f t="shared" si="9"/>
        <v>17853.151099999999</v>
      </c>
      <c r="L21" s="23">
        <f t="shared" si="10"/>
        <v>256400</v>
      </c>
      <c r="M21" s="19">
        <v>174500</v>
      </c>
      <c r="N21" s="19">
        <v>81900</v>
      </c>
      <c r="O21" s="63">
        <f t="shared" si="11"/>
        <v>47502</v>
      </c>
      <c r="P21" s="23">
        <f t="shared" si="12"/>
        <v>153228.29499999998</v>
      </c>
      <c r="Q21" s="19">
        <f t="shared" si="13"/>
        <v>91507.966100000005</v>
      </c>
      <c r="R21" s="20">
        <f t="shared" si="14"/>
        <v>284873.92110000004</v>
      </c>
      <c r="S21" s="112">
        <v>369.95</v>
      </c>
      <c r="T21" s="118">
        <v>114596</v>
      </c>
      <c r="U21" s="112">
        <f>Table134[[#This Row],[2020 Average Subsidy Per Enrollee Per Month]]*Table134[[#This Row],[2020 Average Count of APTC Enrollees]]</f>
        <v>42394790.199999996</v>
      </c>
      <c r="V21" s="112">
        <f>Table134[[#This Row],[2020 Average Subsidy Per Enrollee Per Month]]*$T$7</f>
        <v>430.34999999999997</v>
      </c>
      <c r="W21" s="112">
        <f>Table134[[#This Row],[Estimated Monthly Subsidy Per Enrollee, under 400% FPL]]-Table134[[#This Row],[2020 Average Subsidy Per Enrollee Per Month]]</f>
        <v>60.399999999999977</v>
      </c>
      <c r="X21" s="112">
        <f>Table134[[#This Row],[2020 Average Subsidy Per Enrollee Per Month]]*$T$7*$T$8</f>
        <v>252.17</v>
      </c>
      <c r="Y21" s="112">
        <f>Table134[[#This Row],[Estimated Monthly Subsidy Per Enrollee, under 400% FPL]]*(Table134[[#This Row],[ Off-Exchange  Enrollment, below 400% FPL ]]+Table134[[#This Row],[Uninsured Marketplace Eligible, Below 400% FPL ]])*12</f>
        <v>998580464.81099987</v>
      </c>
      <c r="Z21"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276906765.73724401</v>
      </c>
      <c r="AA21" s="112">
        <f>Table134[[#This Row],[Total Potential Aggregate Annual Subsidy for Newly Eligible,
under 400% FPL]]+Table134[[#This Row],[Total Potential Aggregate Annual Subsidy for Newly Eligible,
above 400% FPL]]</f>
        <v>1275487230.548244</v>
      </c>
      <c r="AB21" s="23">
        <v>124000</v>
      </c>
      <c r="AC21" s="20">
        <v>-102604</v>
      </c>
    </row>
    <row r="22" spans="1:29" s="250" customFormat="1" ht="17.25" customHeight="1" x14ac:dyDescent="0.25">
      <c r="A22" s="90" t="s">
        <v>5</v>
      </c>
      <c r="B22" s="54" t="s">
        <v>110</v>
      </c>
      <c r="C22" s="8" t="s">
        <v>55</v>
      </c>
      <c r="D22" s="18">
        <f t="shared" si="5"/>
        <v>103156</v>
      </c>
      <c r="E22" s="19">
        <v>71803</v>
      </c>
      <c r="F22" s="19">
        <v>31353</v>
      </c>
      <c r="G22" s="20">
        <f t="shared" si="6"/>
        <v>20222.685000000001</v>
      </c>
      <c r="H22" s="23">
        <v>16043.38</v>
      </c>
      <c r="I22" s="19">
        <f t="shared" si="7"/>
        <v>6096.4843999999994</v>
      </c>
      <c r="J22" s="19">
        <f t="shared" si="8"/>
        <v>9946.8955999999998</v>
      </c>
      <c r="K22" s="20">
        <f t="shared" si="9"/>
        <v>5769.1994479999994</v>
      </c>
      <c r="L22" s="23">
        <f t="shared" si="10"/>
        <v>96400</v>
      </c>
      <c r="M22" s="19">
        <v>60400</v>
      </c>
      <c r="N22" s="19">
        <v>36000</v>
      </c>
      <c r="O22" s="63">
        <f t="shared" si="11"/>
        <v>20880</v>
      </c>
      <c r="P22" s="23">
        <f t="shared" si="12"/>
        <v>77299.895600000003</v>
      </c>
      <c r="Q22" s="19">
        <f t="shared" si="13"/>
        <v>46871.884447999997</v>
      </c>
      <c r="R22" s="20">
        <f t="shared" si="14"/>
        <v>113368.368848</v>
      </c>
      <c r="S22" s="112">
        <v>631.29999999999995</v>
      </c>
      <c r="T22" s="118">
        <v>71803</v>
      </c>
      <c r="U22" s="112">
        <f>Table134[[#This Row],[2020 Average Subsidy Per Enrollee Per Month]]*Table134[[#This Row],[2020 Average Count of APTC Enrollees]]</f>
        <v>45329233.899999999</v>
      </c>
      <c r="V22" s="112">
        <f>Table134[[#This Row],[2020 Average Subsidy Per Enrollee Per Month]]*$T$7</f>
        <v>734.36938775510191</v>
      </c>
      <c r="W22" s="112">
        <f>Table134[[#This Row],[Estimated Monthly Subsidy Per Enrollee, under 400% FPL]]-Table134[[#This Row],[2020 Average Subsidy Per Enrollee Per Month]]</f>
        <v>103.06938775510196</v>
      </c>
      <c r="X22" s="112">
        <f>Table134[[#This Row],[2020 Average Subsidy Per Enrollee Per Month]]*$T$7*$T$8</f>
        <v>430.31469387755095</v>
      </c>
      <c r="Y22" s="112">
        <f>Table134[[#This Row],[Estimated Monthly Subsidy Per Enrollee, under 400% FPL]]*(Table134[[#This Row],[ Off-Exchange  Enrollment, below 400% FPL ]]+Table134[[#This Row],[Uninsured Marketplace Eligible, Below 400% FPL ]])*12</f>
        <v>585995790.44033623</v>
      </c>
      <c r="Z22"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242035927.29246074</v>
      </c>
      <c r="AA22" s="112">
        <f>Table134[[#This Row],[Total Potential Aggregate Annual Subsidy for Newly Eligible,
under 400% FPL]]+Table134[[#This Row],[Total Potential Aggregate Annual Subsidy for Newly Eligible,
above 400% FPL]]</f>
        <v>828031717.73279691</v>
      </c>
      <c r="AB22" s="23">
        <v>51000</v>
      </c>
      <c r="AC22" s="20">
        <v>-51395</v>
      </c>
    </row>
    <row r="23" spans="1:29" s="250" customFormat="1" ht="17.25" customHeight="1" x14ac:dyDescent="0.25">
      <c r="A23" s="90" t="s">
        <v>6</v>
      </c>
      <c r="B23" s="54" t="s">
        <v>111</v>
      </c>
      <c r="C23" s="8" t="s">
        <v>53</v>
      </c>
      <c r="D23" s="18">
        <f t="shared" si="5"/>
        <v>22835</v>
      </c>
      <c r="E23" s="19">
        <v>19527</v>
      </c>
      <c r="F23" s="19">
        <v>3308</v>
      </c>
      <c r="G23" s="20">
        <f t="shared" si="6"/>
        <v>2133.66</v>
      </c>
      <c r="H23" s="23">
        <v>3261.1329999999998</v>
      </c>
      <c r="I23" s="19">
        <f t="shared" si="7"/>
        <v>1239.23054</v>
      </c>
      <c r="J23" s="19">
        <f t="shared" si="8"/>
        <v>2021.9024599999998</v>
      </c>
      <c r="K23" s="20">
        <f t="shared" si="9"/>
        <v>1172.7034267999998</v>
      </c>
      <c r="L23" s="23">
        <f t="shared" si="10"/>
        <v>33000</v>
      </c>
      <c r="M23" s="19">
        <v>24100</v>
      </c>
      <c r="N23" s="19">
        <v>8900</v>
      </c>
      <c r="O23" s="63">
        <f t="shared" si="11"/>
        <v>5162</v>
      </c>
      <c r="P23" s="23">
        <f t="shared" si="12"/>
        <v>14229.902459999999</v>
      </c>
      <c r="Q23" s="19">
        <f t="shared" si="13"/>
        <v>8468.3634267999987</v>
      </c>
      <c r="R23" s="20">
        <f t="shared" si="14"/>
        <v>33807.593966799999</v>
      </c>
      <c r="S23" s="112">
        <v>568.1</v>
      </c>
      <c r="T23" s="118">
        <v>1096</v>
      </c>
      <c r="U23" s="112">
        <f>Table134[[#This Row],[2020 Average Subsidy Per Enrollee Per Month]]*Table134[[#This Row],[2020 Average Count of APTC Enrollees]]</f>
        <v>622637.6</v>
      </c>
      <c r="V23" s="112">
        <f>Table134[[#This Row],[2020 Average Subsidy Per Enrollee Per Month]]*$T$7</f>
        <v>660.85102040816332</v>
      </c>
      <c r="W23" s="112">
        <f>Table134[[#This Row],[Estimated Monthly Subsidy Per Enrollee, under 400% FPL]]-Table134[[#This Row],[2020 Average Subsidy Per Enrollee Per Month]]</f>
        <v>92.751020408163299</v>
      </c>
      <c r="X23" s="112">
        <f>Table134[[#This Row],[2020 Average Subsidy Per Enrollee Per Month]]*$T$7*$T$8</f>
        <v>387.23551020408172</v>
      </c>
      <c r="Y23" s="112">
        <f>Table134[[#This Row],[Estimated Monthly Subsidy Per Enrollee, under 400% FPL]]*(Table134[[#This Row],[ Off-Exchange  Enrollment, below 400% FPL ]]+Table134[[#This Row],[Uninsured Marketplace Eligible, Below 400% FPL ]])*12</f>
        <v>200945476.30460036</v>
      </c>
      <c r="Z23"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39351012.386045799</v>
      </c>
      <c r="AA23" s="112">
        <f>Table134[[#This Row],[Total Potential Aggregate Annual Subsidy for Newly Eligible,
under 400% FPL]]+Table134[[#This Row],[Total Potential Aggregate Annual Subsidy for Newly Eligible,
above 400% FPL]]</f>
        <v>240296488.69064617</v>
      </c>
      <c r="AB23" s="23">
        <v>20000</v>
      </c>
      <c r="AC23" s="20">
        <v>-9697</v>
      </c>
    </row>
    <row r="24" spans="1:29" s="250" customFormat="1" ht="17.25" customHeight="1" x14ac:dyDescent="0.25">
      <c r="A24" s="90" t="s">
        <v>47</v>
      </c>
      <c r="B24" s="54" t="s">
        <v>112</v>
      </c>
      <c r="C24" s="8" t="s">
        <v>55</v>
      </c>
      <c r="D24" s="18">
        <f t="shared" si="5"/>
        <v>16245</v>
      </c>
      <c r="E24" s="19">
        <v>1096</v>
      </c>
      <c r="F24" s="19">
        <v>15149</v>
      </c>
      <c r="G24" s="20">
        <f t="shared" si="6"/>
        <v>9771.1049999999996</v>
      </c>
      <c r="H24" s="23" t="s">
        <v>80</v>
      </c>
      <c r="I24" s="19"/>
      <c r="J24" s="19" t="s">
        <v>80</v>
      </c>
      <c r="K24" s="20"/>
      <c r="L24" s="23">
        <f t="shared" si="10"/>
        <v>11000</v>
      </c>
      <c r="M24" s="19">
        <v>6700</v>
      </c>
      <c r="N24" s="19">
        <v>4300</v>
      </c>
      <c r="O24" s="63">
        <f t="shared" si="11"/>
        <v>2494</v>
      </c>
      <c r="P24" s="23">
        <f t="shared" si="12"/>
        <v>19449</v>
      </c>
      <c r="Q24" s="19">
        <f t="shared" si="13"/>
        <v>12265.105</v>
      </c>
      <c r="R24" s="20">
        <f t="shared" si="14"/>
        <v>18965.105</v>
      </c>
      <c r="S24" s="112">
        <v>379.81</v>
      </c>
      <c r="T24" s="118">
        <v>19527</v>
      </c>
      <c r="U24" s="112">
        <f>Table134[[#This Row],[2020 Average Subsidy Per Enrollee Per Month]]*Table134[[#This Row],[2020 Average Count of APTC Enrollees]]</f>
        <v>7416549.8700000001</v>
      </c>
      <c r="V24" s="112">
        <f>Table134[[#This Row],[2020 Average Subsidy Per Enrollee Per Month]]*$T$7</f>
        <v>441.81979591836733</v>
      </c>
      <c r="W24" s="112">
        <f>Table134[[#This Row],[Estimated Monthly Subsidy Per Enrollee, under 400% FPL]]-Table134[[#This Row],[2020 Average Subsidy Per Enrollee Per Month]]</f>
        <v>62.009795918367331</v>
      </c>
      <c r="X24" s="112">
        <f>Table134[[#This Row],[2020 Average Subsidy Per Enrollee Per Month]]*$T$7*$T$8</f>
        <v>258.89089795918369</v>
      </c>
      <c r="Y24" s="112">
        <f>Table134[[#This Row],[Estimated Monthly Subsidy Per Enrollee, under 400% FPL]]*(Table134[[#This Row],[ Off-Exchange  Enrollment, below 400% FPL ]]+Table134[[#This Row],[Uninsured Marketplace Eligible, Below 400% FPL ]])*12</f>
        <v>35522311.591836736</v>
      </c>
      <c r="Z24"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38103888.56416408</v>
      </c>
      <c r="AA24" s="112">
        <f>Table134[[#This Row],[Total Potential Aggregate Annual Subsidy for Newly Eligible,
under 400% FPL]]+Table134[[#This Row],[Total Potential Aggregate Annual Subsidy for Newly Eligible,
above 400% FPL]]</f>
        <v>73626200.156000823</v>
      </c>
      <c r="AB24" s="23">
        <v>14000</v>
      </c>
      <c r="AC24" s="20">
        <v>-1224</v>
      </c>
    </row>
    <row r="25" spans="1:29" s="250" customFormat="1" ht="17.25" customHeight="1" x14ac:dyDescent="0.25">
      <c r="A25" s="90" t="s">
        <v>7</v>
      </c>
      <c r="B25" s="54" t="s">
        <v>113</v>
      </c>
      <c r="C25" s="8" t="s">
        <v>53</v>
      </c>
      <c r="D25" s="18">
        <f t="shared" si="5"/>
        <v>1787377</v>
      </c>
      <c r="E25" s="19">
        <v>1705902</v>
      </c>
      <c r="F25" s="19">
        <v>81475</v>
      </c>
      <c r="G25" s="20">
        <f t="shared" si="6"/>
        <v>52551.375</v>
      </c>
      <c r="H25" s="23">
        <v>135507.9</v>
      </c>
      <c r="I25" s="19">
        <f t="shared" ref="I25:I36" si="15">H25*I$8</f>
        <v>51493.002</v>
      </c>
      <c r="J25" s="19">
        <f t="shared" ref="J25:J36" si="16">H25-I25</f>
        <v>84014.897999999986</v>
      </c>
      <c r="K25" s="20">
        <f t="shared" ref="K25:K36" si="17">J25*K$8</f>
        <v>48728.640839999985</v>
      </c>
      <c r="L25" s="23">
        <f t="shared" si="10"/>
        <v>1522100</v>
      </c>
      <c r="M25" s="19">
        <v>1203600</v>
      </c>
      <c r="N25" s="19">
        <v>318500</v>
      </c>
      <c r="O25" s="63">
        <f t="shared" si="11"/>
        <v>184730</v>
      </c>
      <c r="P25" s="23">
        <f t="shared" si="12"/>
        <v>483989.89799999999</v>
      </c>
      <c r="Q25" s="19">
        <f t="shared" si="13"/>
        <v>286010.01584000001</v>
      </c>
      <c r="R25" s="20">
        <f t="shared" si="14"/>
        <v>1541103.0178399999</v>
      </c>
      <c r="S25" s="112">
        <v>530.97</v>
      </c>
      <c r="T25" s="118">
        <v>1705902</v>
      </c>
      <c r="U25" s="112">
        <f>Table134[[#This Row],[2020 Average Subsidy Per Enrollee Per Month]]*Table134[[#This Row],[2020 Average Count of APTC Enrollees]]</f>
        <v>905782784.94000006</v>
      </c>
      <c r="V25" s="112">
        <f>Table134[[#This Row],[2020 Average Subsidy Per Enrollee Per Month]]*$T$7</f>
        <v>617.65897959183678</v>
      </c>
      <c r="W25" s="112">
        <f>Table134[[#This Row],[Estimated Monthly Subsidy Per Enrollee, under 400% FPL]]-Table134[[#This Row],[2020 Average Subsidy Per Enrollee Per Month]]</f>
        <v>86.688979591836755</v>
      </c>
      <c r="X25" s="112">
        <f>Table134[[#This Row],[2020 Average Subsidy Per Enrollee Per Month]]*$T$7*$T$8</f>
        <v>361.92648979591843</v>
      </c>
      <c r="Y25" s="112">
        <f>Table134[[#This Row],[Estimated Monthly Subsidy Per Enrollee, under 400% FPL]]*(Table134[[#This Row],[ Off-Exchange  Enrollment, below 400% FPL ]]+Table134[[#This Row],[Uninsured Marketplace Eligible, Below 400% FPL ]])*12</f>
        <v>9302633554.8981018</v>
      </c>
      <c r="Z25"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1242175212.9533548</v>
      </c>
      <c r="AA25" s="112">
        <f>Table134[[#This Row],[Total Potential Aggregate Annual Subsidy for Newly Eligible,
under 400% FPL]]+Table134[[#This Row],[Total Potential Aggregate Annual Subsidy for Newly Eligible,
above 400% FPL]]</f>
        <v>10544808767.851456</v>
      </c>
      <c r="AB25" s="23">
        <v>221000</v>
      </c>
      <c r="AC25" s="20">
        <v>-145186</v>
      </c>
    </row>
    <row r="26" spans="1:29" s="250" customFormat="1" ht="17.25" customHeight="1" x14ac:dyDescent="0.25">
      <c r="A26" s="90" t="s">
        <v>8</v>
      </c>
      <c r="B26" s="54" t="s">
        <v>114</v>
      </c>
      <c r="C26" s="8" t="s">
        <v>53</v>
      </c>
      <c r="D26" s="18">
        <f t="shared" si="5"/>
        <v>422483</v>
      </c>
      <c r="E26" s="19">
        <v>381031</v>
      </c>
      <c r="F26" s="19">
        <v>41452</v>
      </c>
      <c r="G26" s="20">
        <f t="shared" si="6"/>
        <v>26736.54</v>
      </c>
      <c r="H26" s="23">
        <v>21282.5</v>
      </c>
      <c r="I26" s="19">
        <f t="shared" si="15"/>
        <v>8087.35</v>
      </c>
      <c r="J26" s="19">
        <f t="shared" si="16"/>
        <v>13195.15</v>
      </c>
      <c r="K26" s="20">
        <f t="shared" si="17"/>
        <v>7653.186999999999</v>
      </c>
      <c r="L26" s="23">
        <f t="shared" si="10"/>
        <v>677000</v>
      </c>
      <c r="M26" s="19">
        <v>549900</v>
      </c>
      <c r="N26" s="19">
        <v>127100</v>
      </c>
      <c r="O26" s="63">
        <f t="shared" si="11"/>
        <v>73718</v>
      </c>
      <c r="P26" s="23">
        <f t="shared" si="12"/>
        <v>181747.15</v>
      </c>
      <c r="Q26" s="19">
        <f t="shared" si="13"/>
        <v>108107.727</v>
      </c>
      <c r="R26" s="20">
        <f t="shared" si="14"/>
        <v>666095.07700000005</v>
      </c>
      <c r="S26" s="112">
        <v>494.27</v>
      </c>
      <c r="T26" s="118">
        <v>381031</v>
      </c>
      <c r="U26" s="112">
        <f>Table134[[#This Row],[2020 Average Subsidy Per Enrollee Per Month]]*Table134[[#This Row],[2020 Average Count of APTC Enrollees]]</f>
        <v>188332192.37</v>
      </c>
      <c r="V26" s="112">
        <f>Table134[[#This Row],[2020 Average Subsidy Per Enrollee Per Month]]*$T$7</f>
        <v>574.96714285714279</v>
      </c>
      <c r="W26" s="112">
        <f>Table134[[#This Row],[Estimated Monthly Subsidy Per Enrollee, under 400% FPL]]-Table134[[#This Row],[2020 Average Subsidy Per Enrollee Per Month]]</f>
        <v>80.697142857142808</v>
      </c>
      <c r="X26" s="112">
        <f>Table134[[#This Row],[2020 Average Subsidy Per Enrollee Per Month]]*$T$7*$T$8</f>
        <v>336.91057142857142</v>
      </c>
      <c r="Y26" s="112">
        <f>Table134[[#This Row],[Estimated Monthly Subsidy Per Enrollee, under 400% FPL]]*(Table134[[#This Row],[ Off-Exchange  Enrollment, below 400% FPL ]]+Table134[[#This Row],[Uninsured Marketplace Eligible, Below 400% FPL ]])*12</f>
        <v>3849892708.5591421</v>
      </c>
      <c r="Z26"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437071632.952968</v>
      </c>
      <c r="AA26" s="112">
        <f>Table134[[#This Row],[Total Potential Aggregate Annual Subsidy for Newly Eligible,
under 400% FPL]]+Table134[[#This Row],[Total Potential Aggregate Annual Subsidy for Newly Eligible,
above 400% FPL]]</f>
        <v>4286964341.5121102</v>
      </c>
      <c r="AB26" s="23">
        <v>168000</v>
      </c>
      <c r="AC26" s="20">
        <v>-153049</v>
      </c>
    </row>
    <row r="27" spans="1:29" s="250" customFormat="1" ht="17.25" customHeight="1" x14ac:dyDescent="0.25">
      <c r="A27" s="90" t="s">
        <v>9</v>
      </c>
      <c r="B27" s="54" t="s">
        <v>115</v>
      </c>
      <c r="C27" s="8" t="s">
        <v>53</v>
      </c>
      <c r="D27" s="18">
        <f t="shared" si="5"/>
        <v>18457</v>
      </c>
      <c r="E27" s="19">
        <v>15282</v>
      </c>
      <c r="F27" s="19">
        <v>3175</v>
      </c>
      <c r="G27" s="20">
        <f t="shared" si="6"/>
        <v>2047.875</v>
      </c>
      <c r="H27" s="23">
        <v>13084.39</v>
      </c>
      <c r="I27" s="19">
        <f t="shared" si="15"/>
        <v>4972.0681999999997</v>
      </c>
      <c r="J27" s="19">
        <f t="shared" si="16"/>
        <v>8112.3217999999997</v>
      </c>
      <c r="K27" s="20">
        <f t="shared" si="17"/>
        <v>4705.1466439999995</v>
      </c>
      <c r="L27" s="23">
        <f t="shared" si="10"/>
        <v>24200</v>
      </c>
      <c r="M27" s="19">
        <v>14700</v>
      </c>
      <c r="N27" s="19">
        <v>9500</v>
      </c>
      <c r="O27" s="63">
        <f t="shared" si="11"/>
        <v>5510</v>
      </c>
      <c r="P27" s="23">
        <f t="shared" si="12"/>
        <v>20787.321799999998</v>
      </c>
      <c r="Q27" s="19">
        <f t="shared" si="13"/>
        <v>12263.021644</v>
      </c>
      <c r="R27" s="20">
        <f t="shared" si="14"/>
        <v>31935.089843999998</v>
      </c>
      <c r="S27" s="112">
        <v>519.41999999999996</v>
      </c>
      <c r="T27" s="118">
        <v>15282</v>
      </c>
      <c r="U27" s="112">
        <f>Table134[[#This Row],[2020 Average Subsidy Per Enrollee Per Month]]*Table134[[#This Row],[2020 Average Count of APTC Enrollees]]</f>
        <v>7937776.4399999995</v>
      </c>
      <c r="V27" s="112">
        <f>Table134[[#This Row],[2020 Average Subsidy Per Enrollee Per Month]]*$T$7</f>
        <v>604.22326530612236</v>
      </c>
      <c r="W27" s="112">
        <f>Table134[[#This Row],[Estimated Monthly Subsidy Per Enrollee, under 400% FPL]]-Table134[[#This Row],[2020 Average Subsidy Per Enrollee Per Month]]</f>
        <v>84.803265306122398</v>
      </c>
      <c r="X27" s="112">
        <f>Table134[[#This Row],[2020 Average Subsidy Per Enrollee Per Month]]*$T$7*$T$8</f>
        <v>354.05363265306119</v>
      </c>
      <c r="Y27" s="112">
        <f>Table134[[#This Row],[Estimated Monthly Subsidy Per Enrollee, under 400% FPL]]*(Table134[[#This Row],[ Off-Exchange  Enrollment, below 400% FPL ]]+Table134[[#This Row],[Uninsured Marketplace Eligible, Below 400% FPL ]])*12</f>
        <v>142635855.3975448</v>
      </c>
      <c r="Z27"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52101208.324335769</v>
      </c>
      <c r="AA27" s="112">
        <f>Table134[[#This Row],[Total Potential Aggregate Annual Subsidy for Newly Eligible,
under 400% FPL]]+Table134[[#This Row],[Total Potential Aggregate Annual Subsidy for Newly Eligible,
above 400% FPL]]</f>
        <v>194737063.72188056</v>
      </c>
      <c r="AB27" s="23">
        <v>25000</v>
      </c>
      <c r="AC27" s="20">
        <v>-6621</v>
      </c>
    </row>
    <row r="28" spans="1:29" s="250" customFormat="1" ht="17.25" customHeight="1" x14ac:dyDescent="0.25">
      <c r="A28" s="90" t="s">
        <v>10</v>
      </c>
      <c r="B28" s="54" t="s">
        <v>116</v>
      </c>
      <c r="C28" s="8" t="s">
        <v>55</v>
      </c>
      <c r="D28" s="18">
        <f t="shared" si="5"/>
        <v>71362</v>
      </c>
      <c r="E28" s="19">
        <v>61866</v>
      </c>
      <c r="F28" s="19">
        <v>9496</v>
      </c>
      <c r="G28" s="20">
        <f t="shared" si="6"/>
        <v>6124.92</v>
      </c>
      <c r="H28" s="23">
        <v>11323.27</v>
      </c>
      <c r="I28" s="19">
        <f t="shared" si="15"/>
        <v>4302.8425999999999</v>
      </c>
      <c r="J28" s="19">
        <f t="shared" si="16"/>
        <v>7020.4274000000005</v>
      </c>
      <c r="K28" s="20">
        <f t="shared" si="17"/>
        <v>4071.8478920000002</v>
      </c>
      <c r="L28" s="23">
        <f t="shared" si="10"/>
        <v>94500</v>
      </c>
      <c r="M28" s="19">
        <v>72400</v>
      </c>
      <c r="N28" s="19">
        <v>22100</v>
      </c>
      <c r="O28" s="63">
        <f t="shared" si="11"/>
        <v>12818</v>
      </c>
      <c r="P28" s="23">
        <f t="shared" si="12"/>
        <v>38616.4274</v>
      </c>
      <c r="Q28" s="19">
        <f t="shared" si="13"/>
        <v>23014.767892</v>
      </c>
      <c r="R28" s="20">
        <f t="shared" si="14"/>
        <v>99717.610492000007</v>
      </c>
      <c r="S28" s="112">
        <v>474.44</v>
      </c>
      <c r="T28" s="118">
        <v>61866</v>
      </c>
      <c r="U28" s="112">
        <f>Table134[[#This Row],[2020 Average Subsidy Per Enrollee Per Month]]*Table134[[#This Row],[2020 Average Count of APTC Enrollees]]</f>
        <v>29351705.039999999</v>
      </c>
      <c r="V28" s="112">
        <f>Table134[[#This Row],[2020 Average Subsidy Per Enrollee Per Month]]*$T$7</f>
        <v>551.89959183673466</v>
      </c>
      <c r="W28" s="112">
        <f>Table134[[#This Row],[Estimated Monthly Subsidy Per Enrollee, under 400% FPL]]-Table134[[#This Row],[2020 Average Subsidy Per Enrollee Per Month]]</f>
        <v>77.45959183673466</v>
      </c>
      <c r="X28" s="112">
        <f>Table134[[#This Row],[2020 Average Subsidy Per Enrollee Per Month]]*$T$7*$T$8</f>
        <v>323.39379591836735</v>
      </c>
      <c r="Y28" s="112">
        <f>Table134[[#This Row],[Estimated Monthly Subsidy Per Enrollee, under 400% FPL]]*(Table134[[#This Row],[ Off-Exchange  Enrollment, below 400% FPL ]]+Table134[[#This Row],[Uninsured Marketplace Eligible, Below 400% FPL ]])*12</f>
        <v>507987210.28388768</v>
      </c>
      <c r="Z28"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89313997.809288502</v>
      </c>
      <c r="AA28" s="112">
        <f>Table134[[#This Row],[Total Potential Aggregate Annual Subsidy for Newly Eligible,
under 400% FPL]]+Table134[[#This Row],[Total Potential Aggregate Annual Subsidy for Newly Eligible,
above 400% FPL]]</f>
        <v>597301208.09317613</v>
      </c>
      <c r="AB28" s="23">
        <v>74000</v>
      </c>
      <c r="AC28" s="20">
        <v>-18872</v>
      </c>
    </row>
    <row r="29" spans="1:29" s="250" customFormat="1" ht="17.25" customHeight="1" x14ac:dyDescent="0.25">
      <c r="A29" s="90" t="s">
        <v>244</v>
      </c>
      <c r="B29" s="54" t="s">
        <v>117</v>
      </c>
      <c r="C29" s="8" t="s">
        <v>53</v>
      </c>
      <c r="D29" s="18">
        <f t="shared" si="5"/>
        <v>266206</v>
      </c>
      <c r="E29" s="19">
        <v>226685</v>
      </c>
      <c r="F29" s="19">
        <v>39521</v>
      </c>
      <c r="G29" s="20">
        <f t="shared" si="6"/>
        <v>25491.045000000002</v>
      </c>
      <c r="H29" s="23">
        <v>71895.25</v>
      </c>
      <c r="I29" s="19">
        <f t="shared" si="15"/>
        <v>27320.195</v>
      </c>
      <c r="J29" s="19">
        <f t="shared" si="16"/>
        <v>44575.055</v>
      </c>
      <c r="K29" s="20">
        <f t="shared" si="17"/>
        <v>25853.531899999998</v>
      </c>
      <c r="L29" s="23">
        <f t="shared" si="10"/>
        <v>424500</v>
      </c>
      <c r="M29" s="19">
        <v>294000</v>
      </c>
      <c r="N29" s="19">
        <v>130500</v>
      </c>
      <c r="O29" s="63">
        <f t="shared" si="11"/>
        <v>75690</v>
      </c>
      <c r="P29" s="23">
        <f t="shared" si="12"/>
        <v>214596.05499999999</v>
      </c>
      <c r="Q29" s="19">
        <f t="shared" si="13"/>
        <v>127034.5769</v>
      </c>
      <c r="R29" s="20">
        <f t="shared" si="14"/>
        <v>448354.77189999999</v>
      </c>
      <c r="S29" s="112">
        <v>499.2</v>
      </c>
      <c r="T29" s="118">
        <v>226685</v>
      </c>
      <c r="U29" s="112">
        <f>Table134[[#This Row],[2020 Average Subsidy Per Enrollee Per Month]]*Table134[[#This Row],[2020 Average Count of APTC Enrollees]]</f>
        <v>113161152</v>
      </c>
      <c r="V29" s="112">
        <f>Table134[[#This Row],[2020 Average Subsidy Per Enrollee Per Month]]*$T$7</f>
        <v>580.70204081632653</v>
      </c>
      <c r="W29" s="112">
        <f>Table134[[#This Row],[Estimated Monthly Subsidy Per Enrollee, under 400% FPL]]-Table134[[#This Row],[2020 Average Subsidy Per Enrollee Per Month]]</f>
        <v>81.502040816326542</v>
      </c>
      <c r="X29" s="112">
        <f>Table134[[#This Row],[2020 Average Subsidy Per Enrollee Per Month]]*$T$7*$T$8</f>
        <v>340.27102040816328</v>
      </c>
      <c r="Y29" s="112">
        <f>Table134[[#This Row],[Estimated Monthly Subsidy Per Enrollee, under 400% FPL]]*(Table134[[#This Row],[ Off-Exchange  Enrollment, below 400% FPL ]]+Table134[[#This Row],[Uninsured Marketplace Eligible, Below 400% FPL ]])*12</f>
        <v>2239095515.9040003</v>
      </c>
      <c r="Z29"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518714221.30658746</v>
      </c>
      <c r="AA29" s="112">
        <f>Table134[[#This Row],[Total Potential Aggregate Annual Subsidy for Newly Eligible,
under 400% FPL]]+Table134[[#This Row],[Total Potential Aggregate Annual Subsidy for Newly Eligible,
above 400% FPL]]</f>
        <v>2757809737.2105875</v>
      </c>
      <c r="AB29" s="23">
        <v>331000</v>
      </c>
      <c r="AC29" s="20">
        <v>-159868</v>
      </c>
    </row>
    <row r="30" spans="1:29" s="250" customFormat="1" ht="17.25" customHeight="1" x14ac:dyDescent="0.25">
      <c r="A30" s="90" t="s">
        <v>11</v>
      </c>
      <c r="B30" s="54" t="s">
        <v>118</v>
      </c>
      <c r="C30" s="8" t="s">
        <v>53</v>
      </c>
      <c r="D30" s="18">
        <f t="shared" si="5"/>
        <v>129879</v>
      </c>
      <c r="E30" s="19">
        <v>92011</v>
      </c>
      <c r="F30" s="19">
        <v>37868</v>
      </c>
      <c r="G30" s="20">
        <f t="shared" si="6"/>
        <v>24424.86</v>
      </c>
      <c r="H30" s="23">
        <v>288.59379999999999</v>
      </c>
      <c r="I30" s="19">
        <f t="shared" si="15"/>
        <v>109.665644</v>
      </c>
      <c r="J30" s="19">
        <f t="shared" si="16"/>
        <v>178.928156</v>
      </c>
      <c r="K30" s="20">
        <f t="shared" si="17"/>
        <v>103.77833047999999</v>
      </c>
      <c r="L30" s="23">
        <f t="shared" si="10"/>
        <v>292300</v>
      </c>
      <c r="M30" s="19">
        <v>223800</v>
      </c>
      <c r="N30" s="19">
        <v>68500</v>
      </c>
      <c r="O30" s="63">
        <f t="shared" si="11"/>
        <v>39730</v>
      </c>
      <c r="P30" s="23">
        <f t="shared" si="12"/>
        <v>106546.92815600001</v>
      </c>
      <c r="Q30" s="19">
        <f t="shared" si="13"/>
        <v>64258.638330479997</v>
      </c>
      <c r="R30" s="20">
        <f t="shared" si="14"/>
        <v>288168.30397448002</v>
      </c>
      <c r="S30" s="112">
        <v>394.32</v>
      </c>
      <c r="T30" s="118">
        <v>92011</v>
      </c>
      <c r="U30" s="112">
        <f>Table134[[#This Row],[2020 Average Subsidy Per Enrollee Per Month]]*Table134[[#This Row],[2020 Average Count of APTC Enrollees]]</f>
        <v>36281777.519999996</v>
      </c>
      <c r="V30" s="112">
        <f>Table134[[#This Row],[2020 Average Subsidy Per Enrollee Per Month]]*$T$7</f>
        <v>458.69877551020403</v>
      </c>
      <c r="W30" s="112">
        <f>Table134[[#This Row],[Estimated Monthly Subsidy Per Enrollee, under 400% FPL]]-Table134[[#This Row],[2020 Average Subsidy Per Enrollee Per Month]]</f>
        <v>64.378775510204036</v>
      </c>
      <c r="X30" s="112">
        <f>Table134[[#This Row],[2020 Average Subsidy Per Enrollee Per Month]]*$T$7*$T$8</f>
        <v>268.781387755102</v>
      </c>
      <c r="Y30" s="112">
        <f>Table134[[#This Row],[Estimated Monthly Subsidy Per Enrollee, under 400% FPL]]*(Table134[[#This Row],[ Off-Exchange  Enrollment, below 400% FPL ]]+Table134[[#This Row],[Uninsured Marketplace Eligible, Below 400% FPL ]])*12</f>
        <v>1232485073.469624</v>
      </c>
      <c r="Z30"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207258311.82863528</v>
      </c>
      <c r="AA30" s="112">
        <f>Table134[[#This Row],[Total Potential Aggregate Annual Subsidy for Newly Eligible,
under 400% FPL]]+Table134[[#This Row],[Total Potential Aggregate Annual Subsidy for Newly Eligible,
above 400% FPL]]</f>
        <v>1439743385.2982593</v>
      </c>
      <c r="AB30" s="23">
        <v>248000</v>
      </c>
      <c r="AC30" s="20">
        <v>-39139</v>
      </c>
    </row>
    <row r="31" spans="1:29" s="250" customFormat="1" ht="17.25" customHeight="1" x14ac:dyDescent="0.25">
      <c r="A31" s="90" t="s">
        <v>12</v>
      </c>
      <c r="B31" s="54" t="s">
        <v>119</v>
      </c>
      <c r="C31" s="8" t="s">
        <v>53</v>
      </c>
      <c r="D31" s="18">
        <f t="shared" si="5"/>
        <v>52215</v>
      </c>
      <c r="E31" s="19">
        <v>47685</v>
      </c>
      <c r="F31" s="19">
        <v>4530</v>
      </c>
      <c r="G31" s="20">
        <f t="shared" si="6"/>
        <v>2921.85</v>
      </c>
      <c r="H31" s="23">
        <v>369.21480000000003</v>
      </c>
      <c r="I31" s="19">
        <f t="shared" si="15"/>
        <v>140.301624</v>
      </c>
      <c r="J31" s="19">
        <f t="shared" si="16"/>
        <v>228.91317600000002</v>
      </c>
      <c r="K31" s="20">
        <f t="shared" si="17"/>
        <v>132.76964208000001</v>
      </c>
      <c r="L31" s="23">
        <f t="shared" si="10"/>
        <v>82400</v>
      </c>
      <c r="M31" s="19">
        <v>59500</v>
      </c>
      <c r="N31" s="19">
        <v>22900</v>
      </c>
      <c r="O31" s="63">
        <f t="shared" si="11"/>
        <v>13281.999999999998</v>
      </c>
      <c r="P31" s="23">
        <f t="shared" si="12"/>
        <v>27658.913176000002</v>
      </c>
      <c r="Q31" s="19">
        <f t="shared" si="13"/>
        <v>16336.619642079997</v>
      </c>
      <c r="R31" s="20">
        <f t="shared" si="14"/>
        <v>75976.921266079997</v>
      </c>
      <c r="S31" s="112">
        <v>802.37</v>
      </c>
      <c r="T31" s="118">
        <v>47685</v>
      </c>
      <c r="U31" s="112">
        <f>Table134[[#This Row],[2020 Average Subsidy Per Enrollee Per Month]]*Table134[[#This Row],[2020 Average Count of APTC Enrollees]]</f>
        <v>38261013.450000003</v>
      </c>
      <c r="V31" s="112">
        <f>Table134[[#This Row],[2020 Average Subsidy Per Enrollee Per Month]]*$T$7</f>
        <v>933.36918367346937</v>
      </c>
      <c r="W31" s="112">
        <f>Table134[[#This Row],[Estimated Monthly Subsidy Per Enrollee, under 400% FPL]]-Table134[[#This Row],[2020 Average Subsidy Per Enrollee Per Month]]</f>
        <v>130.99918367346936</v>
      </c>
      <c r="X31" s="112">
        <f>Table134[[#This Row],[2020 Average Subsidy Per Enrollee Per Month]]*$T$7*$T$8</f>
        <v>546.92159183673471</v>
      </c>
      <c r="Y31" s="112">
        <f>Table134[[#This Row],[Estimated Monthly Subsidy Per Enrollee, under 400% FPL]]*(Table134[[#This Row],[ Off-Exchange  Enrollment, below 400% FPL ]]+Table134[[#This Row],[Uninsured Marketplace Eligible, Below 400% FPL ]])*12</f>
        <v>667997035.68998849</v>
      </c>
      <c r="Z31"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107218200.23853193</v>
      </c>
      <c r="AA31" s="112">
        <f>Table134[[#This Row],[Total Potential Aggregate Annual Subsidy for Newly Eligible,
under 400% FPL]]+Table134[[#This Row],[Total Potential Aggregate Annual Subsidy for Newly Eligible,
above 400% FPL]]</f>
        <v>775215235.92852044</v>
      </c>
      <c r="AB31" s="23">
        <v>53000</v>
      </c>
      <c r="AC31" s="20">
        <v>-39156</v>
      </c>
    </row>
    <row r="32" spans="1:29" s="250" customFormat="1" ht="17.25" customHeight="1" x14ac:dyDescent="0.25">
      <c r="A32" s="90" t="s">
        <v>13</v>
      </c>
      <c r="B32" s="54" t="s">
        <v>120</v>
      </c>
      <c r="C32" s="8" t="s">
        <v>53</v>
      </c>
      <c r="D32" s="18">
        <f t="shared" si="5"/>
        <v>78383</v>
      </c>
      <c r="E32" s="19">
        <v>69791</v>
      </c>
      <c r="F32" s="19">
        <v>8592</v>
      </c>
      <c r="G32" s="20">
        <f t="shared" si="6"/>
        <v>5541.84</v>
      </c>
      <c r="H32" s="23">
        <v>9671.7810000000009</v>
      </c>
      <c r="I32" s="19">
        <f t="shared" si="15"/>
        <v>3675.2767800000001</v>
      </c>
      <c r="J32" s="19">
        <f t="shared" si="16"/>
        <v>5996.5042200000007</v>
      </c>
      <c r="K32" s="20">
        <f t="shared" si="17"/>
        <v>3477.9724476000001</v>
      </c>
      <c r="L32" s="23">
        <f t="shared" si="10"/>
        <v>137000</v>
      </c>
      <c r="M32" s="19">
        <v>107400</v>
      </c>
      <c r="N32" s="19">
        <v>29600</v>
      </c>
      <c r="O32" s="63">
        <f t="shared" si="11"/>
        <v>17168</v>
      </c>
      <c r="P32" s="23">
        <f t="shared" si="12"/>
        <v>44188.504220000003</v>
      </c>
      <c r="Q32" s="19">
        <f t="shared" si="13"/>
        <v>26187.812447600001</v>
      </c>
      <c r="R32" s="20">
        <f t="shared" si="14"/>
        <v>137263.08922759999</v>
      </c>
      <c r="S32" s="112">
        <v>544.42999999999995</v>
      </c>
      <c r="T32" s="118">
        <v>69791</v>
      </c>
      <c r="U32" s="112">
        <f>Table134[[#This Row],[2020 Average Subsidy Per Enrollee Per Month]]*Table134[[#This Row],[2020 Average Count of APTC Enrollees]]</f>
        <v>37996314.129999995</v>
      </c>
      <c r="V32" s="112">
        <f>Table134[[#This Row],[2020 Average Subsidy Per Enrollee Per Month]]*$T$7</f>
        <v>633.31653061224483</v>
      </c>
      <c r="W32" s="112">
        <f>Table134[[#This Row],[Estimated Monthly Subsidy Per Enrollee, under 400% FPL]]-Table134[[#This Row],[2020 Average Subsidy Per Enrollee Per Month]]</f>
        <v>88.886530612244883</v>
      </c>
      <c r="X32" s="112">
        <f>Table134[[#This Row],[2020 Average Subsidy Per Enrollee Per Month]]*$T$7*$T$8</f>
        <v>371.10126530612246</v>
      </c>
      <c r="Y32" s="112">
        <f>Table134[[#This Row],[Estimated Monthly Subsidy Per Enrollee, under 400% FPL]]*(Table134[[#This Row],[ Off-Exchange  Enrollment, below 400% FPL ]]+Table134[[#This Row],[Uninsured Marketplace Eligible, Below 400% FPL ]])*12</f>
        <v>844149707.12525332</v>
      </c>
      <c r="Z32"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116619964.01884541</v>
      </c>
      <c r="AA32" s="112">
        <f>Table134[[#This Row],[Total Potential Aggregate Annual Subsidy for Newly Eligible,
under 400% FPL]]+Table134[[#This Row],[Total Potential Aggregate Annual Subsidy for Newly Eligible,
above 400% FPL]]</f>
        <v>960769671.14409876</v>
      </c>
      <c r="AB32" s="23">
        <v>33000</v>
      </c>
      <c r="AC32" s="20">
        <v>-43364</v>
      </c>
    </row>
    <row r="33" spans="1:29" s="250" customFormat="1" ht="17.25" customHeight="1" x14ac:dyDescent="0.25">
      <c r="A33" s="90" t="s">
        <v>14</v>
      </c>
      <c r="B33" s="54" t="s">
        <v>121</v>
      </c>
      <c r="C33" s="8" t="s">
        <v>54</v>
      </c>
      <c r="D33" s="18">
        <f t="shared" si="5"/>
        <v>74801</v>
      </c>
      <c r="E33" s="19">
        <v>62047</v>
      </c>
      <c r="F33" s="19">
        <v>12754</v>
      </c>
      <c r="G33" s="20">
        <f t="shared" si="6"/>
        <v>8226.33</v>
      </c>
      <c r="H33" s="23">
        <v>3277.1089999999999</v>
      </c>
      <c r="I33" s="19">
        <f t="shared" si="15"/>
        <v>1245.30142</v>
      </c>
      <c r="J33" s="19">
        <f t="shared" si="16"/>
        <v>2031.8075799999999</v>
      </c>
      <c r="K33" s="20">
        <f t="shared" si="17"/>
        <v>1178.4483963999999</v>
      </c>
      <c r="L33" s="23">
        <f t="shared" si="10"/>
        <v>145900</v>
      </c>
      <c r="M33" s="19">
        <v>110400</v>
      </c>
      <c r="N33" s="19">
        <v>35500</v>
      </c>
      <c r="O33" s="63">
        <f t="shared" si="11"/>
        <v>20590</v>
      </c>
      <c r="P33" s="23">
        <f t="shared" si="12"/>
        <v>50285.807580000001</v>
      </c>
      <c r="Q33" s="19">
        <f t="shared" si="13"/>
        <v>29994.778396399997</v>
      </c>
      <c r="R33" s="20">
        <f t="shared" si="14"/>
        <v>141640.07981640002</v>
      </c>
      <c r="S33" s="112">
        <v>508.06</v>
      </c>
      <c r="T33" s="118">
        <v>62047</v>
      </c>
      <c r="U33" s="112">
        <f>Table134[[#This Row],[2020 Average Subsidy Per Enrollee Per Month]]*Table134[[#This Row],[2020 Average Count of APTC Enrollees]]</f>
        <v>31523598.82</v>
      </c>
      <c r="V33" s="112">
        <f>Table134[[#This Row],[2020 Average Subsidy Per Enrollee Per Month]]*$T$7</f>
        <v>591.00857142857137</v>
      </c>
      <c r="W33" s="112">
        <f>Table134[[#This Row],[Estimated Monthly Subsidy Per Enrollee, under 400% FPL]]-Table134[[#This Row],[2020 Average Subsidy Per Enrollee Per Month]]</f>
        <v>82.94857142857137</v>
      </c>
      <c r="X33" s="112">
        <f>Table134[[#This Row],[2020 Average Subsidy Per Enrollee Per Month]]*$T$7*$T$8</f>
        <v>346.31028571428573</v>
      </c>
      <c r="Y33" s="112">
        <f>Table134[[#This Row],[Estimated Monthly Subsidy Per Enrollee, under 400% FPL]]*(Table134[[#This Row],[ Off-Exchange  Enrollment, below 400% FPL ]]+Table134[[#This Row],[Uninsured Marketplace Eligible, Below 400% FPL ]])*12</f>
        <v>791799961.18735743</v>
      </c>
      <c r="Z33"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124650003.31672762</v>
      </c>
      <c r="AA33" s="112">
        <f>Table134[[#This Row],[Total Potential Aggregate Annual Subsidy for Newly Eligible,
under 400% FPL]]+Table134[[#This Row],[Total Potential Aggregate Annual Subsidy for Newly Eligible,
above 400% FPL]]</f>
        <v>916449964.50408506</v>
      </c>
      <c r="AB33" s="23">
        <v>115000</v>
      </c>
      <c r="AC33" s="20">
        <v>-31198</v>
      </c>
    </row>
    <row r="34" spans="1:29" s="250" customFormat="1" ht="17.25" customHeight="1" x14ac:dyDescent="0.25">
      <c r="A34" s="90" t="s">
        <v>15</v>
      </c>
      <c r="B34" s="54" t="s">
        <v>122</v>
      </c>
      <c r="C34" s="8" t="s">
        <v>53</v>
      </c>
      <c r="D34" s="18">
        <f t="shared" si="5"/>
        <v>77950</v>
      </c>
      <c r="E34" s="19">
        <v>70758</v>
      </c>
      <c r="F34" s="19">
        <v>7192</v>
      </c>
      <c r="G34" s="20">
        <f t="shared" si="6"/>
        <v>4638.84</v>
      </c>
      <c r="H34" s="23">
        <v>20478.419999999998</v>
      </c>
      <c r="I34" s="19">
        <f t="shared" si="15"/>
        <v>7781.7995999999994</v>
      </c>
      <c r="J34" s="19">
        <f t="shared" si="16"/>
        <v>12696.6204</v>
      </c>
      <c r="K34" s="20">
        <f t="shared" si="17"/>
        <v>7364.0398319999995</v>
      </c>
      <c r="L34" s="23">
        <f t="shared" si="10"/>
        <v>203800</v>
      </c>
      <c r="M34" s="19">
        <v>145800</v>
      </c>
      <c r="N34" s="19">
        <v>58000</v>
      </c>
      <c r="O34" s="63">
        <f t="shared" si="11"/>
        <v>33640</v>
      </c>
      <c r="P34" s="23">
        <f t="shared" si="12"/>
        <v>77888.6204</v>
      </c>
      <c r="Q34" s="19">
        <f t="shared" si="13"/>
        <v>45642.879831999999</v>
      </c>
      <c r="R34" s="20">
        <f t="shared" si="14"/>
        <v>199224.679432</v>
      </c>
      <c r="S34" s="112">
        <v>565.58000000000004</v>
      </c>
      <c r="T34" s="118">
        <v>70758</v>
      </c>
      <c r="U34" s="112">
        <f>Table134[[#This Row],[2020 Average Subsidy Per Enrollee Per Month]]*Table134[[#This Row],[2020 Average Count of APTC Enrollees]]</f>
        <v>40019309.640000001</v>
      </c>
      <c r="V34" s="112">
        <f>Table134[[#This Row],[2020 Average Subsidy Per Enrollee Per Month]]*$T$7</f>
        <v>657.91959183673475</v>
      </c>
      <c r="W34" s="112">
        <f>Table134[[#This Row],[Estimated Monthly Subsidy Per Enrollee, under 400% FPL]]-Table134[[#This Row],[2020 Average Subsidy Per Enrollee Per Month]]</f>
        <v>92.339591836734712</v>
      </c>
      <c r="X34" s="112">
        <f>Table134[[#This Row],[2020 Average Subsidy Per Enrollee Per Month]]*$T$7*$T$8</f>
        <v>385.51779591836743</v>
      </c>
      <c r="Y34" s="112">
        <f>Table134[[#This Row],[Estimated Monthly Subsidy Per Enrollee, under 400% FPL]]*(Table134[[#This Row],[ Off-Exchange  Enrollment, below 400% FPL ]]+Table134[[#This Row],[Uninsured Marketplace Eligible, Below 400% FPL ]])*12</f>
        <v>1212533698.8765984</v>
      </c>
      <c r="Z34"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211153709.18639454</v>
      </c>
      <c r="AA34" s="112">
        <f>Table134[[#This Row],[Total Potential Aggregate Annual Subsidy for Newly Eligible,
under 400% FPL]]+Table134[[#This Row],[Total Potential Aggregate Annual Subsidy for Newly Eligible,
above 400% FPL]]</f>
        <v>1423687408.0629928</v>
      </c>
      <c r="AB34" s="23">
        <v>159000</v>
      </c>
      <c r="AC34" s="20">
        <v>-39367</v>
      </c>
    </row>
    <row r="35" spans="1:29" s="250" customFormat="1" ht="17.25" customHeight="1" x14ac:dyDescent="0.25">
      <c r="A35" s="90" t="s">
        <v>245</v>
      </c>
      <c r="B35" s="54" t="s">
        <v>123</v>
      </c>
      <c r="C35" s="8" t="s">
        <v>54</v>
      </c>
      <c r="D35" s="18">
        <f t="shared" si="5"/>
        <v>57137</v>
      </c>
      <c r="E35" s="19">
        <v>49319</v>
      </c>
      <c r="F35" s="19">
        <v>7818</v>
      </c>
      <c r="G35" s="20">
        <f t="shared" si="6"/>
        <v>5042.6100000000006</v>
      </c>
      <c r="H35" s="23">
        <v>6301.5230000000001</v>
      </c>
      <c r="I35" s="19">
        <f t="shared" si="15"/>
        <v>2394.5787399999999</v>
      </c>
      <c r="J35" s="19">
        <f t="shared" si="16"/>
        <v>3906.9442600000002</v>
      </c>
      <c r="K35" s="20">
        <f t="shared" si="17"/>
        <v>2266.0276708000001</v>
      </c>
      <c r="L35" s="23">
        <f t="shared" si="10"/>
        <v>67400</v>
      </c>
      <c r="M35" s="19">
        <v>51100</v>
      </c>
      <c r="N35" s="19">
        <v>16300</v>
      </c>
      <c r="O35" s="63">
        <f t="shared" si="11"/>
        <v>9454</v>
      </c>
      <c r="P35" s="23">
        <f t="shared" si="12"/>
        <v>28024.94426</v>
      </c>
      <c r="Q35" s="19">
        <f t="shared" si="13"/>
        <v>16762.637670800003</v>
      </c>
      <c r="R35" s="20">
        <f t="shared" si="14"/>
        <v>70257.2164108</v>
      </c>
      <c r="S35" s="112">
        <v>545.05999999999995</v>
      </c>
      <c r="T35" s="118">
        <v>49319</v>
      </c>
      <c r="U35" s="112">
        <f>Table134[[#This Row],[2020 Average Subsidy Per Enrollee Per Month]]*Table134[[#This Row],[2020 Average Count of APTC Enrollees]]</f>
        <v>26881814.139999997</v>
      </c>
      <c r="V35" s="112">
        <f>Table134[[#This Row],[2020 Average Subsidy Per Enrollee Per Month]]*$T$7</f>
        <v>634.04938775510198</v>
      </c>
      <c r="W35" s="112">
        <f>Table134[[#This Row],[Estimated Monthly Subsidy Per Enrollee, under 400% FPL]]-Table134[[#This Row],[2020 Average Subsidy Per Enrollee Per Month]]</f>
        <v>88.98938775510203</v>
      </c>
      <c r="X35" s="112">
        <f>Table134[[#This Row],[2020 Average Subsidy Per Enrollee Per Month]]*$T$7*$T$8</f>
        <v>371.53069387755102</v>
      </c>
      <c r="Y35" s="112">
        <f>Table134[[#This Row],[Estimated Monthly Subsidy Per Enrollee, under 400% FPL]]*(Table134[[#This Row],[ Off-Exchange  Enrollment, below 400% FPL ]]+Table134[[#This Row],[Uninsured Marketplace Eligible, Below 400% FPL ]])*12</f>
        <v>407018458.77976918</v>
      </c>
      <c r="Z35"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74734012.860603601</v>
      </c>
      <c r="AA35" s="112">
        <f>Table134[[#This Row],[Total Potential Aggregate Annual Subsidy for Newly Eligible,
under 400% FPL]]+Table134[[#This Row],[Total Potential Aggregate Annual Subsidy for Newly Eligible,
above 400% FPL]]</f>
        <v>481752471.64037275</v>
      </c>
      <c r="AB35" s="23">
        <v>40000</v>
      </c>
      <c r="AC35" s="20">
        <v>-4085</v>
      </c>
    </row>
    <row r="36" spans="1:29" s="250" customFormat="1" ht="17.25" customHeight="1" x14ac:dyDescent="0.25">
      <c r="A36" s="90" t="s">
        <v>16</v>
      </c>
      <c r="B36" s="54" t="s">
        <v>124</v>
      </c>
      <c r="C36" s="8" t="s">
        <v>55</v>
      </c>
      <c r="D36" s="18">
        <f t="shared" si="5"/>
        <v>146446</v>
      </c>
      <c r="E36" s="19">
        <v>119227</v>
      </c>
      <c r="F36" s="19">
        <v>27219</v>
      </c>
      <c r="G36" s="20">
        <f t="shared" si="6"/>
        <v>17556.255000000001</v>
      </c>
      <c r="H36" s="23">
        <v>49690.09</v>
      </c>
      <c r="I36" s="19">
        <f t="shared" si="15"/>
        <v>18882.234199999999</v>
      </c>
      <c r="J36" s="19">
        <f t="shared" si="16"/>
        <v>30807.855799999998</v>
      </c>
      <c r="K36" s="20">
        <f t="shared" si="17"/>
        <v>17868.556363999996</v>
      </c>
      <c r="L36" s="23">
        <f t="shared" si="10"/>
        <v>142000</v>
      </c>
      <c r="M36" s="19">
        <v>91900</v>
      </c>
      <c r="N36" s="19">
        <v>50100</v>
      </c>
      <c r="O36" s="63">
        <f t="shared" si="11"/>
        <v>29057.999999999996</v>
      </c>
      <c r="P36" s="23">
        <f t="shared" si="12"/>
        <v>108126.85579999999</v>
      </c>
      <c r="Q36" s="19">
        <f t="shared" si="13"/>
        <v>64482.811363999994</v>
      </c>
      <c r="R36" s="20">
        <f t="shared" si="14"/>
        <v>175265.045564</v>
      </c>
      <c r="S36" s="112">
        <v>441.06</v>
      </c>
      <c r="T36" s="118">
        <v>119227</v>
      </c>
      <c r="U36" s="112">
        <f>Table134[[#This Row],[2020 Average Subsidy Per Enrollee Per Month]]*Table134[[#This Row],[2020 Average Count of APTC Enrollees]]</f>
        <v>52586260.619999997</v>
      </c>
      <c r="V36" s="112">
        <f>Table134[[#This Row],[2020 Average Subsidy Per Enrollee Per Month]]*$T$7</f>
        <v>513.06979591836728</v>
      </c>
      <c r="W36" s="112">
        <f>Table134[[#This Row],[Estimated Monthly Subsidy Per Enrollee, under 400% FPL]]-Table134[[#This Row],[2020 Average Subsidy Per Enrollee Per Month]]</f>
        <v>72.009795918367274</v>
      </c>
      <c r="X36" s="112">
        <f>Table134[[#This Row],[2020 Average Subsidy Per Enrollee Per Month]]*$T$7*$T$8</f>
        <v>300.64089795918363</v>
      </c>
      <c r="Y36" s="112">
        <f>Table134[[#This Row],[Estimated Monthly Subsidy Per Enrollee, under 400% FPL]]*(Table134[[#This Row],[ Off-Exchange  Enrollment, below 400% FPL ]]+Table134[[#This Row],[Uninsured Marketplace Eligible, Below 400% FPL ]])*12</f>
        <v>682068219.50849724</v>
      </c>
      <c r="Z36"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232634043.73686731</v>
      </c>
      <c r="AA36" s="112">
        <f>Table134[[#This Row],[Total Potential Aggregate Annual Subsidy for Newly Eligible,
under 400% FPL]]+Table134[[#This Row],[Total Potential Aggregate Annual Subsidy for Newly Eligible,
above 400% FPL]]</f>
        <v>914702263.24536455</v>
      </c>
      <c r="AB36" s="23">
        <v>97000</v>
      </c>
      <c r="AC36" s="20">
        <v>-82841</v>
      </c>
    </row>
    <row r="37" spans="1:29" s="250" customFormat="1" ht="17.25" customHeight="1" x14ac:dyDescent="0.25">
      <c r="A37" s="90" t="s">
        <v>17</v>
      </c>
      <c r="B37" s="54" t="s">
        <v>125</v>
      </c>
      <c r="C37" s="8" t="s">
        <v>55</v>
      </c>
      <c r="D37" s="18">
        <f t="shared" si="5"/>
        <v>288618</v>
      </c>
      <c r="E37" s="19">
        <v>229245</v>
      </c>
      <c r="F37" s="19">
        <v>59373</v>
      </c>
      <c r="G37" s="20">
        <f t="shared" si="6"/>
        <v>38295.584999999999</v>
      </c>
      <c r="H37" s="23" t="s">
        <v>80</v>
      </c>
      <c r="I37" s="19"/>
      <c r="J37" s="19" t="s">
        <v>80</v>
      </c>
      <c r="K37" s="20"/>
      <c r="L37" s="23">
        <f t="shared" si="10"/>
        <v>113100</v>
      </c>
      <c r="M37" s="19">
        <v>70200</v>
      </c>
      <c r="N37" s="19">
        <v>42900</v>
      </c>
      <c r="O37" s="63">
        <f t="shared" si="11"/>
        <v>24882</v>
      </c>
      <c r="P37" s="23">
        <f t="shared" si="12"/>
        <v>102273</v>
      </c>
      <c r="Q37" s="19">
        <f t="shared" si="13"/>
        <v>63177.584999999999</v>
      </c>
      <c r="R37" s="20">
        <f t="shared" si="14"/>
        <v>133377.58499999999</v>
      </c>
      <c r="S37" s="112">
        <v>267.89999999999998</v>
      </c>
      <c r="T37" s="118">
        <v>229245</v>
      </c>
      <c r="U37" s="112">
        <f>Table134[[#This Row],[2020 Average Subsidy Per Enrollee Per Month]]*Table134[[#This Row],[2020 Average Count of APTC Enrollees]]</f>
        <v>61414735.499999993</v>
      </c>
      <c r="V37" s="112">
        <f>Table134[[#This Row],[2020 Average Subsidy Per Enrollee Per Month]]*$T$7</f>
        <v>311.63877551020403</v>
      </c>
      <c r="W37" s="112">
        <f>Table134[[#This Row],[Estimated Monthly Subsidy Per Enrollee, under 400% FPL]]-Table134[[#This Row],[2020 Average Subsidy Per Enrollee Per Month]]</f>
        <v>43.73877551020405</v>
      </c>
      <c r="X37" s="112">
        <f>Table134[[#This Row],[2020 Average Subsidy Per Enrollee Per Month]]*$T$7*$T$8</f>
        <v>182.60938775510203</v>
      </c>
      <c r="Y37" s="112">
        <f>Table134[[#This Row],[Estimated Monthly Subsidy Per Enrollee, under 400% FPL]]*(Table134[[#This Row],[ Off-Exchange  Enrollment, below 400% FPL ]]+Table134[[#This Row],[Uninsured Marketplace Eligible, Below 400% FPL ]])*12</f>
        <v>262524504.48979586</v>
      </c>
      <c r="Z37"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138441841.40035102</v>
      </c>
      <c r="AA37" s="112">
        <f>Table134[[#This Row],[Total Potential Aggregate Annual Subsidy for Newly Eligible,
under 400% FPL]]+Table134[[#This Row],[Total Potential Aggregate Annual Subsidy for Newly Eligible,
above 400% FPL]]</f>
        <v>400966345.89014685</v>
      </c>
      <c r="AB37" s="23">
        <v>57000</v>
      </c>
      <c r="AC37" s="20"/>
    </row>
    <row r="38" spans="1:29" s="250" customFormat="1" ht="17.25" customHeight="1" x14ac:dyDescent="0.25">
      <c r="A38" s="90" t="s">
        <v>18</v>
      </c>
      <c r="B38" s="54" t="s">
        <v>126</v>
      </c>
      <c r="C38" s="8" t="s">
        <v>53</v>
      </c>
      <c r="D38" s="18">
        <f t="shared" si="5"/>
        <v>241746</v>
      </c>
      <c r="E38" s="19">
        <v>206604</v>
      </c>
      <c r="F38" s="19">
        <v>35142</v>
      </c>
      <c r="G38" s="20">
        <f t="shared" si="6"/>
        <v>22666.59</v>
      </c>
      <c r="H38" s="23">
        <v>70409.78</v>
      </c>
      <c r="I38" s="19">
        <f t="shared" ref="I38:I60" si="18">H38*I$8</f>
        <v>26755.716400000001</v>
      </c>
      <c r="J38" s="19">
        <f t="shared" ref="J38:J60" si="19">H38-I38</f>
        <v>43654.063599999994</v>
      </c>
      <c r="K38" s="20">
        <f t="shared" ref="K38:K60" si="20">J38*K$8</f>
        <v>25319.356887999995</v>
      </c>
      <c r="L38" s="23">
        <f t="shared" si="10"/>
        <v>308600</v>
      </c>
      <c r="M38" s="19">
        <v>241300</v>
      </c>
      <c r="N38" s="19">
        <v>67300</v>
      </c>
      <c r="O38" s="63">
        <f t="shared" si="11"/>
        <v>39034</v>
      </c>
      <c r="P38" s="23">
        <f t="shared" si="12"/>
        <v>146096.06359999999</v>
      </c>
      <c r="Q38" s="19">
        <f t="shared" si="13"/>
        <v>87019.946887999991</v>
      </c>
      <c r="R38" s="20">
        <f t="shared" si="14"/>
        <v>355075.66328799998</v>
      </c>
      <c r="S38" s="112">
        <v>363.51</v>
      </c>
      <c r="T38" s="118">
        <v>206604</v>
      </c>
      <c r="U38" s="112">
        <f>Table134[[#This Row],[2020 Average Subsidy Per Enrollee Per Month]]*Table134[[#This Row],[2020 Average Count of APTC Enrollees]]</f>
        <v>75102620.039999992</v>
      </c>
      <c r="V38" s="112">
        <f>Table134[[#This Row],[2020 Average Subsidy Per Enrollee Per Month]]*$T$7</f>
        <v>422.85857142857139</v>
      </c>
      <c r="W38" s="112">
        <f>Table134[[#This Row],[Estimated Monthly Subsidy Per Enrollee, under 400% FPL]]-Table134[[#This Row],[2020 Average Subsidy Per Enrollee Per Month]]</f>
        <v>59.348571428571404</v>
      </c>
      <c r="X38" s="112">
        <f>Table134[[#This Row],[2020 Average Subsidy Per Enrollee Per Month]]*$T$7*$T$8</f>
        <v>247.78028571428572</v>
      </c>
      <c r="Y38" s="112">
        <f>Table134[[#This Row],[Estimated Monthly Subsidy Per Enrollee, under 400% FPL]]*(Table134[[#This Row],[ Off-Exchange  Enrollment, below 400% FPL ]]+Table134[[#This Row],[Uninsured Marketplace Eligible, Below 400% FPL ]])*12</f>
        <v>1360195887.6019952</v>
      </c>
      <c r="Z38"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258741927.63300729</v>
      </c>
      <c r="AA38" s="112">
        <f>Table134[[#This Row],[Total Potential Aggregate Annual Subsidy for Newly Eligible,
under 400% FPL]]+Table134[[#This Row],[Total Potential Aggregate Annual Subsidy for Newly Eligible,
above 400% FPL]]</f>
        <v>1618937815.2350025</v>
      </c>
      <c r="AB38" s="23">
        <v>228000</v>
      </c>
      <c r="AC38" s="20">
        <v>-62675</v>
      </c>
    </row>
    <row r="39" spans="1:29" s="250" customFormat="1" ht="17.25" customHeight="1" x14ac:dyDescent="0.25">
      <c r="A39" s="90" t="s">
        <v>19</v>
      </c>
      <c r="B39" s="54" t="s">
        <v>127</v>
      </c>
      <c r="C39" s="8" t="s">
        <v>55</v>
      </c>
      <c r="D39" s="18">
        <f t="shared" si="5"/>
        <v>106931</v>
      </c>
      <c r="E39" s="19">
        <v>59144</v>
      </c>
      <c r="F39" s="19">
        <v>47787</v>
      </c>
      <c r="G39" s="20">
        <f t="shared" si="6"/>
        <v>30822.615000000002</v>
      </c>
      <c r="H39" s="23">
        <v>48001.72</v>
      </c>
      <c r="I39" s="19">
        <f t="shared" si="18"/>
        <v>18240.653600000001</v>
      </c>
      <c r="J39" s="19">
        <f t="shared" si="19"/>
        <v>29761.0664</v>
      </c>
      <c r="K39" s="20">
        <f t="shared" si="20"/>
        <v>17261.418512</v>
      </c>
      <c r="L39" s="23">
        <f t="shared" si="10"/>
        <v>158300</v>
      </c>
      <c r="M39" s="19">
        <v>114100</v>
      </c>
      <c r="N39" s="19">
        <v>44200</v>
      </c>
      <c r="O39" s="63">
        <f t="shared" si="11"/>
        <v>25636</v>
      </c>
      <c r="P39" s="23">
        <f t="shared" si="12"/>
        <v>121748.0664</v>
      </c>
      <c r="Q39" s="19">
        <f t="shared" si="13"/>
        <v>73720.033511999995</v>
      </c>
      <c r="R39" s="20">
        <f t="shared" si="14"/>
        <v>206060.68711200001</v>
      </c>
      <c r="S39" s="112">
        <v>290.52999999999997</v>
      </c>
      <c r="T39" s="118">
        <v>59144</v>
      </c>
      <c r="U39" s="112">
        <f>Table134[[#This Row],[2020 Average Subsidy Per Enrollee Per Month]]*Table134[[#This Row],[2020 Average Count of APTC Enrollees]]</f>
        <v>17183106.319999997</v>
      </c>
      <c r="V39" s="112">
        <f>Table134[[#This Row],[2020 Average Subsidy Per Enrollee Per Month]]*$T$7</f>
        <v>337.96346938775508</v>
      </c>
      <c r="W39" s="112">
        <f>Table134[[#This Row],[Estimated Monthly Subsidy Per Enrollee, under 400% FPL]]-Table134[[#This Row],[2020 Average Subsidy Per Enrollee Per Month]]</f>
        <v>47.43346938775511</v>
      </c>
      <c r="X39" s="112">
        <f>Table134[[#This Row],[2020 Average Subsidy Per Enrollee Per Month]]*$T$7*$T$8</f>
        <v>198.03473469387757</v>
      </c>
      <c r="Y39" s="112">
        <f>Table134[[#This Row],[Estimated Monthly Subsidy Per Enrollee, under 400% FPL]]*(Table134[[#This Row],[ Off-Exchange  Enrollment, below 400% FPL ]]+Table134[[#This Row],[Uninsured Marketplace Eligible, Below 400% FPL ]])*12</f>
        <v>536715677.18038917</v>
      </c>
      <c r="Z39"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175189527.33807221</v>
      </c>
      <c r="AA39" s="112">
        <f>Table134[[#This Row],[Total Potential Aggregate Annual Subsidy for Newly Eligible,
under 400% FPL]]+Table134[[#This Row],[Total Potential Aggregate Annual Subsidy for Newly Eligible,
above 400% FPL]]</f>
        <v>711905204.51846135</v>
      </c>
      <c r="AB39" s="23">
        <v>88000</v>
      </c>
      <c r="AC39" s="20">
        <v>-105950</v>
      </c>
    </row>
    <row r="40" spans="1:29" s="250" customFormat="1" ht="17.25" customHeight="1" x14ac:dyDescent="0.25">
      <c r="A40" s="90" t="s">
        <v>20</v>
      </c>
      <c r="B40" s="54" t="s">
        <v>128</v>
      </c>
      <c r="C40" s="8" t="s">
        <v>53</v>
      </c>
      <c r="D40" s="18">
        <f t="shared" si="5"/>
        <v>89014</v>
      </c>
      <c r="E40" s="19">
        <v>86531</v>
      </c>
      <c r="F40" s="19">
        <v>2483</v>
      </c>
      <c r="G40" s="20">
        <f t="shared" si="6"/>
        <v>1601.5350000000001</v>
      </c>
      <c r="H40" s="23">
        <v>15590.09</v>
      </c>
      <c r="I40" s="19">
        <f t="shared" si="18"/>
        <v>5924.2341999999999</v>
      </c>
      <c r="J40" s="19">
        <f t="shared" si="19"/>
        <v>9665.8558000000012</v>
      </c>
      <c r="K40" s="20">
        <f t="shared" si="20"/>
        <v>5606.1963640000004</v>
      </c>
      <c r="L40" s="23">
        <f>SUM(M40:N40)</f>
        <v>182500</v>
      </c>
      <c r="M40" s="19">
        <v>152400</v>
      </c>
      <c r="N40" s="19">
        <v>30100</v>
      </c>
      <c r="O40" s="63">
        <f t="shared" si="11"/>
        <v>17458</v>
      </c>
      <c r="P40" s="23">
        <f t="shared" si="12"/>
        <v>42248.855800000005</v>
      </c>
      <c r="Q40" s="19">
        <f t="shared" si="13"/>
        <v>24665.731363999999</v>
      </c>
      <c r="R40" s="20">
        <f t="shared" si="14"/>
        <v>182989.96556400001</v>
      </c>
      <c r="S40" s="112">
        <v>560.23</v>
      </c>
      <c r="T40" s="118">
        <v>86531</v>
      </c>
      <c r="U40" s="112">
        <f>Table134[[#This Row],[2020 Average Subsidy Per Enrollee Per Month]]*Table134[[#This Row],[2020 Average Count of APTC Enrollees]]</f>
        <v>48477262.130000003</v>
      </c>
      <c r="V40" s="112">
        <f>Table134[[#This Row],[2020 Average Subsidy Per Enrollee Per Month]]*$T$7</f>
        <v>651.69612244897962</v>
      </c>
      <c r="W40" s="112">
        <f>Table134[[#This Row],[Estimated Monthly Subsidy Per Enrollee, under 400% FPL]]-Table134[[#This Row],[2020 Average Subsidy Per Enrollee Per Month]]</f>
        <v>91.466122448979604</v>
      </c>
      <c r="X40" s="112">
        <f>Table134[[#This Row],[2020 Average Subsidy Per Enrollee Per Month]]*$T$7*$T$8</f>
        <v>381.87106122448984</v>
      </c>
      <c r="Y40" s="112">
        <f>Table134[[#This Row],[Estimated Monthly Subsidy Per Enrollee, under 400% FPL]]*(Table134[[#This Row],[ Off-Exchange  Enrollment, below 400% FPL ]]+Table134[[#This Row],[Uninsured Marketplace Eligible, Below 400% FPL ]])*12</f>
        <v>1238151474.2141294</v>
      </c>
      <c r="Z40"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113029548.14218636</v>
      </c>
      <c r="AA40" s="112">
        <f>Table134[[#This Row],[Total Potential Aggregate Annual Subsidy for Newly Eligible,
under 400% FPL]]+Table134[[#This Row],[Total Potential Aggregate Annual Subsidy for Newly Eligible,
above 400% FPL]]</f>
        <v>1351181022.3563159</v>
      </c>
      <c r="AB40" s="23">
        <v>41000</v>
      </c>
      <c r="AC40" s="20">
        <v>-13076</v>
      </c>
    </row>
    <row r="41" spans="1:29" s="250" customFormat="1" ht="17.25" customHeight="1" x14ac:dyDescent="0.25">
      <c r="A41" s="90" t="s">
        <v>21</v>
      </c>
      <c r="B41" s="54" t="s">
        <v>129</v>
      </c>
      <c r="C41" s="8" t="s">
        <v>53</v>
      </c>
      <c r="D41" s="18">
        <f t="shared" si="5"/>
        <v>187689</v>
      </c>
      <c r="E41" s="19">
        <v>163238</v>
      </c>
      <c r="F41" s="19">
        <v>24451</v>
      </c>
      <c r="G41" s="20">
        <f t="shared" si="6"/>
        <v>15770.895</v>
      </c>
      <c r="H41" s="23">
        <v>2859.0940000000001</v>
      </c>
      <c r="I41" s="19">
        <f t="shared" si="18"/>
        <v>1086.4557199999999</v>
      </c>
      <c r="J41" s="19">
        <f t="shared" si="19"/>
        <v>1772.6382800000001</v>
      </c>
      <c r="K41" s="20">
        <f t="shared" si="20"/>
        <v>1028.1302023999999</v>
      </c>
      <c r="L41" s="23">
        <f t="shared" si="10"/>
        <v>332800</v>
      </c>
      <c r="M41" s="19">
        <v>273400</v>
      </c>
      <c r="N41" s="19">
        <v>59400</v>
      </c>
      <c r="O41" s="63">
        <f t="shared" si="11"/>
        <v>34452</v>
      </c>
      <c r="P41" s="23">
        <f t="shared" si="12"/>
        <v>85623.638279999999</v>
      </c>
      <c r="Q41" s="19">
        <f t="shared" si="13"/>
        <v>51251.0252024</v>
      </c>
      <c r="R41" s="20">
        <f t="shared" si="14"/>
        <v>325737.48092240002</v>
      </c>
      <c r="S41" s="112">
        <v>562.03</v>
      </c>
      <c r="T41" s="118">
        <v>163238</v>
      </c>
      <c r="U41" s="112">
        <f>Table134[[#This Row],[2020 Average Subsidy Per Enrollee Per Month]]*Table134[[#This Row],[2020 Average Count of APTC Enrollees]]</f>
        <v>91744653.140000001</v>
      </c>
      <c r="V41" s="112">
        <f>Table134[[#This Row],[2020 Average Subsidy Per Enrollee Per Month]]*$T$7</f>
        <v>653.79</v>
      </c>
      <c r="W41" s="112">
        <f>Table134[[#This Row],[Estimated Monthly Subsidy Per Enrollee, under 400% FPL]]-Table134[[#This Row],[2020 Average Subsidy Per Enrollee Per Month]]</f>
        <v>91.759999999999991</v>
      </c>
      <c r="X41" s="112">
        <f>Table134[[#This Row],[2020 Average Subsidy Per Enrollee Per Month]]*$T$7*$T$8</f>
        <v>383.09800000000001</v>
      </c>
      <c r="Y41" s="112">
        <f>Table134[[#This Row],[Estimated Monthly Subsidy Per Enrollee, under 400% FPL]]*(Table134[[#This Row],[ Off-Exchange  Enrollment, below 400% FPL ]]+Table134[[#This Row],[Uninsured Marketplace Eligible, Below 400% FPL ]])*12</f>
        <v>2153477998.6221457</v>
      </c>
      <c r="Z41"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235609983.03586847</v>
      </c>
      <c r="AA41" s="112">
        <f>Table134[[#This Row],[Total Potential Aggregate Annual Subsidy for Newly Eligible,
under 400% FPL]]+Table134[[#This Row],[Total Potential Aggregate Annual Subsidy for Newly Eligible,
above 400% FPL]]</f>
        <v>2389087981.6580143</v>
      </c>
      <c r="AB41" s="23">
        <v>316000</v>
      </c>
      <c r="AC41" s="20">
        <v>-63058</v>
      </c>
    </row>
    <row r="42" spans="1:29" s="250" customFormat="1" ht="17.25" customHeight="1" x14ac:dyDescent="0.25">
      <c r="A42" s="90" t="s">
        <v>22</v>
      </c>
      <c r="B42" s="54" t="s">
        <v>130</v>
      </c>
      <c r="C42" s="8" t="s">
        <v>53</v>
      </c>
      <c r="D42" s="18">
        <f t="shared" si="5"/>
        <v>40857</v>
      </c>
      <c r="E42" s="19">
        <v>34664</v>
      </c>
      <c r="F42" s="19">
        <v>6193</v>
      </c>
      <c r="G42" s="20">
        <f t="shared" si="6"/>
        <v>3994.4850000000001</v>
      </c>
      <c r="H42" s="23">
        <v>9490.5349999999999</v>
      </c>
      <c r="I42" s="19">
        <f t="shared" si="18"/>
        <v>3606.4032999999999</v>
      </c>
      <c r="J42" s="19">
        <f t="shared" si="19"/>
        <v>5884.1316999999999</v>
      </c>
      <c r="K42" s="20">
        <f t="shared" si="20"/>
        <v>3412.7963859999995</v>
      </c>
      <c r="L42" s="23">
        <f t="shared" si="10"/>
        <v>56500</v>
      </c>
      <c r="M42" s="19">
        <v>38100</v>
      </c>
      <c r="N42" s="19">
        <v>18400</v>
      </c>
      <c r="O42" s="63">
        <f t="shared" si="11"/>
        <v>10672</v>
      </c>
      <c r="P42" s="23">
        <f t="shared" si="12"/>
        <v>30477.131699999998</v>
      </c>
      <c r="Q42" s="19">
        <f t="shared" si="13"/>
        <v>18079.281385999999</v>
      </c>
      <c r="R42" s="20">
        <f t="shared" si="14"/>
        <v>59785.684686000001</v>
      </c>
      <c r="S42" s="112">
        <v>482.28</v>
      </c>
      <c r="T42" s="118">
        <v>34664</v>
      </c>
      <c r="U42" s="112">
        <f>Table134[[#This Row],[2020 Average Subsidy Per Enrollee Per Month]]*Table134[[#This Row],[2020 Average Count of APTC Enrollees]]</f>
        <v>16717753.92</v>
      </c>
      <c r="V42" s="112">
        <f>Table134[[#This Row],[2020 Average Subsidy Per Enrollee Per Month]]*$T$7</f>
        <v>561.01959183673466</v>
      </c>
      <c r="W42" s="112">
        <f>Table134[[#This Row],[Estimated Monthly Subsidy Per Enrollee, under 400% FPL]]-Table134[[#This Row],[2020 Average Subsidy Per Enrollee Per Month]]</f>
        <v>78.739591836734689</v>
      </c>
      <c r="X42" s="112">
        <f>Table134[[#This Row],[2020 Average Subsidy Per Enrollee Per Month]]*$T$7*$T$8</f>
        <v>328.73779591836734</v>
      </c>
      <c r="Y42" s="112">
        <f>Table134[[#This Row],[Estimated Monthly Subsidy Per Enrollee, under 400% FPL]]*(Table134[[#This Row],[ Off-Exchange  Enrollment, below 400% FPL ]]+Table134[[#This Row],[Uninsured Marketplace Eligible, Below 400% FPL ]])*12</f>
        <v>280777312.27613091</v>
      </c>
      <c r="Z42"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71320117.375459254</v>
      </c>
      <c r="AA42" s="112">
        <f>Table134[[#This Row],[Total Potential Aggregate Annual Subsidy for Newly Eligible,
under 400% FPL]]+Table134[[#This Row],[Total Potential Aggregate Annual Subsidy for Newly Eligible,
above 400% FPL]]</f>
        <v>352097429.65159017</v>
      </c>
      <c r="AB42" s="23">
        <v>32000</v>
      </c>
      <c r="AC42" s="20">
        <v>-20464</v>
      </c>
    </row>
    <row r="43" spans="1:29" s="250" customFormat="1" ht="17.25" customHeight="1" x14ac:dyDescent="0.25">
      <c r="A43" s="90" t="s">
        <v>23</v>
      </c>
      <c r="B43" s="54" t="s">
        <v>131</v>
      </c>
      <c r="C43" s="8" t="s">
        <v>53</v>
      </c>
      <c r="D43" s="18">
        <f t="shared" si="5"/>
        <v>85133</v>
      </c>
      <c r="E43" s="19">
        <v>81328</v>
      </c>
      <c r="F43" s="19">
        <v>3805</v>
      </c>
      <c r="G43" s="20">
        <f t="shared" si="6"/>
        <v>2454.2249999999999</v>
      </c>
      <c r="H43" s="23">
        <v>3085.32</v>
      </c>
      <c r="I43" s="19">
        <f t="shared" si="18"/>
        <v>1172.4216000000001</v>
      </c>
      <c r="J43" s="19">
        <f t="shared" si="19"/>
        <v>1912.8984</v>
      </c>
      <c r="K43" s="20">
        <f t="shared" si="20"/>
        <v>1109.481072</v>
      </c>
      <c r="L43" s="23">
        <f t="shared" si="10"/>
        <v>67300</v>
      </c>
      <c r="M43" s="19">
        <v>52500</v>
      </c>
      <c r="N43" s="19">
        <v>14800</v>
      </c>
      <c r="O43" s="63">
        <f t="shared" si="11"/>
        <v>8584</v>
      </c>
      <c r="P43" s="23">
        <f t="shared" si="12"/>
        <v>20517.898399999998</v>
      </c>
      <c r="Q43" s="19">
        <f t="shared" si="13"/>
        <v>12147.706072000001</v>
      </c>
      <c r="R43" s="20">
        <f t="shared" si="14"/>
        <v>65820.127672000002</v>
      </c>
      <c r="S43" s="112">
        <v>709.15</v>
      </c>
      <c r="T43" s="118">
        <v>81328</v>
      </c>
      <c r="U43" s="112">
        <f>Table134[[#This Row],[2020 Average Subsidy Per Enrollee Per Month]]*Table134[[#This Row],[2020 Average Count of APTC Enrollees]]</f>
        <v>57673751.199999996</v>
      </c>
      <c r="V43" s="112">
        <f>Table134[[#This Row],[2020 Average Subsidy Per Enrollee Per Month]]*$T$7</f>
        <v>824.92959183673463</v>
      </c>
      <c r="W43" s="112">
        <f>Table134[[#This Row],[Estimated Monthly Subsidy Per Enrollee, under 400% FPL]]-Table134[[#This Row],[2020 Average Subsidy Per Enrollee Per Month]]</f>
        <v>115.77959183673465</v>
      </c>
      <c r="X43" s="112">
        <f>Table134[[#This Row],[2020 Average Subsidy Per Enrollee Per Month]]*$T$7*$T$8</f>
        <v>483.37979591836734</v>
      </c>
      <c r="Y43" s="112">
        <f>Table134[[#This Row],[Estimated Monthly Subsidy Per Enrollee, under 400% FPL]]*(Table134[[#This Row],[ Off-Exchange  Enrollment, below 400% FPL ]]+Table134[[#This Row],[Uninsured Marketplace Eligible, Below 400% FPL ]])*12</f>
        <v>531311626.12052572</v>
      </c>
      <c r="Z43"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70463468.183516055</v>
      </c>
      <c r="AA43" s="112">
        <f>Table134[[#This Row],[Total Potential Aggregate Annual Subsidy for Newly Eligible,
under 400% FPL]]+Table134[[#This Row],[Total Potential Aggregate Annual Subsidy for Newly Eligible,
above 400% FPL]]</f>
        <v>601775094.30404174</v>
      </c>
      <c r="AB43" s="23">
        <v>64000</v>
      </c>
      <c r="AC43" s="20">
        <v>-33441</v>
      </c>
    </row>
    <row r="44" spans="1:29" s="250" customFormat="1" ht="17.25" customHeight="1" x14ac:dyDescent="0.25">
      <c r="A44" s="90" t="s">
        <v>24</v>
      </c>
      <c r="B44" s="54" t="s">
        <v>132</v>
      </c>
      <c r="C44" s="8" t="s">
        <v>55</v>
      </c>
      <c r="D44" s="18">
        <f t="shared" si="5"/>
        <v>67500</v>
      </c>
      <c r="E44" s="19">
        <v>57555</v>
      </c>
      <c r="F44" s="19">
        <v>9945</v>
      </c>
      <c r="G44" s="20">
        <f t="shared" si="6"/>
        <v>6414.5250000000005</v>
      </c>
      <c r="H44" s="23">
        <v>26874.35</v>
      </c>
      <c r="I44" s="19">
        <f t="shared" si="18"/>
        <v>10212.252999999999</v>
      </c>
      <c r="J44" s="19">
        <f t="shared" si="19"/>
        <v>16662.097000000002</v>
      </c>
      <c r="K44" s="20">
        <f t="shared" si="20"/>
        <v>9664.0162600000003</v>
      </c>
      <c r="L44" s="23">
        <f t="shared" si="10"/>
        <v>153000</v>
      </c>
      <c r="M44" s="19">
        <v>112000</v>
      </c>
      <c r="N44" s="19">
        <v>41000</v>
      </c>
      <c r="O44" s="63">
        <f t="shared" si="11"/>
        <v>23780</v>
      </c>
      <c r="P44" s="23">
        <f t="shared" si="12"/>
        <v>67607.097000000009</v>
      </c>
      <c r="Q44" s="19">
        <f t="shared" si="13"/>
        <v>39858.541259999998</v>
      </c>
      <c r="R44" s="20">
        <f t="shared" si="14"/>
        <v>162070.79426</v>
      </c>
      <c r="S44" s="112">
        <v>389.51</v>
      </c>
      <c r="T44" s="118">
        <v>57555</v>
      </c>
      <c r="U44" s="112">
        <f>Table134[[#This Row],[2020 Average Subsidy Per Enrollee Per Month]]*Table134[[#This Row],[2020 Average Count of APTC Enrollees]]</f>
        <v>22418248.050000001</v>
      </c>
      <c r="V44" s="112">
        <f>Table134[[#This Row],[2020 Average Subsidy Per Enrollee Per Month]]*$T$7</f>
        <v>453.10346938775507</v>
      </c>
      <c r="W44" s="112">
        <f>Table134[[#This Row],[Estimated Monthly Subsidy Per Enrollee, under 400% FPL]]-Table134[[#This Row],[2020 Average Subsidy Per Enrollee Per Month]]</f>
        <v>63.593469387755079</v>
      </c>
      <c r="X44" s="112">
        <f>Table134[[#This Row],[2020 Average Subsidy Per Enrollee Per Month]]*$T$7*$T$8</f>
        <v>265.50273469387753</v>
      </c>
      <c r="Y44" s="112">
        <f>Table134[[#This Row],[Estimated Monthly Subsidy Per Enrollee, under 400% FPL]]*(Table134[[#This Row],[ Off-Exchange  Enrollment, below 400% FPL ]]+Table134[[#This Row],[Uninsured Marketplace Eligible, Below 400% FPL ]])*12</f>
        <v>664497550.03192902</v>
      </c>
      <c r="Z44"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126990620.46526502</v>
      </c>
      <c r="AA44" s="112">
        <f>Table134[[#This Row],[Total Potential Aggregate Annual Subsidy for Newly Eligible,
under 400% FPL]]+Table134[[#This Row],[Total Potential Aggregate Annual Subsidy for Newly Eligible,
above 400% FPL]]</f>
        <v>791488170.49719405</v>
      </c>
      <c r="AB44" s="23">
        <v>113000</v>
      </c>
      <c r="AC44" s="20">
        <v>-29887</v>
      </c>
    </row>
    <row r="45" spans="1:29" s="250" customFormat="1" ht="17.25" customHeight="1" x14ac:dyDescent="0.25">
      <c r="A45" s="90" t="s">
        <v>25</v>
      </c>
      <c r="B45" s="54" t="s">
        <v>133</v>
      </c>
      <c r="C45" s="8" t="s">
        <v>53</v>
      </c>
      <c r="D45" s="18">
        <f t="shared" si="5"/>
        <v>41354</v>
      </c>
      <c r="E45" s="19">
        <v>29591</v>
      </c>
      <c r="F45" s="19">
        <v>11763</v>
      </c>
      <c r="G45" s="20">
        <f t="shared" si="6"/>
        <v>7587.1350000000002</v>
      </c>
      <c r="H45" s="23">
        <v>4667.3909999999996</v>
      </c>
      <c r="I45" s="19">
        <f t="shared" si="18"/>
        <v>1773.6085799999998</v>
      </c>
      <c r="J45" s="19">
        <f t="shared" si="19"/>
        <v>2893.7824199999995</v>
      </c>
      <c r="K45" s="20">
        <f t="shared" si="20"/>
        <v>1678.3938035999997</v>
      </c>
      <c r="L45" s="23">
        <f t="shared" si="10"/>
        <v>56900</v>
      </c>
      <c r="M45" s="19">
        <v>34000</v>
      </c>
      <c r="N45" s="19">
        <v>22900</v>
      </c>
      <c r="O45" s="63">
        <f t="shared" si="11"/>
        <v>13281.999999999998</v>
      </c>
      <c r="P45" s="23">
        <f t="shared" si="12"/>
        <v>37556.782420000003</v>
      </c>
      <c r="Q45" s="19">
        <f t="shared" si="13"/>
        <v>22547.528803599998</v>
      </c>
      <c r="R45" s="20">
        <f t="shared" si="14"/>
        <v>58321.137383599998</v>
      </c>
      <c r="S45" s="112">
        <v>414.21</v>
      </c>
      <c r="T45" s="118">
        <v>29591</v>
      </c>
      <c r="U45" s="112">
        <f>Table134[[#This Row],[2020 Average Subsidy Per Enrollee Per Month]]*Table134[[#This Row],[2020 Average Count of APTC Enrollees]]</f>
        <v>12256888.109999999</v>
      </c>
      <c r="V45" s="112">
        <f>Table134[[#This Row],[2020 Average Subsidy Per Enrollee Per Month]]*$T$7</f>
        <v>481.83612244897955</v>
      </c>
      <c r="W45" s="112">
        <f>Table134[[#This Row],[Estimated Monthly Subsidy Per Enrollee, under 400% FPL]]-Table134[[#This Row],[2020 Average Subsidy Per Enrollee Per Month]]</f>
        <v>67.626122448979572</v>
      </c>
      <c r="X45" s="112">
        <f>Table134[[#This Row],[2020 Average Subsidy Per Enrollee Per Month]]*$T$7*$T$8</f>
        <v>282.3390612244898</v>
      </c>
      <c r="Y45" s="112">
        <f>Table134[[#This Row],[Estimated Monthly Subsidy Per Enrollee, under 400% FPL]]*(Table134[[#This Row],[ Off-Exchange  Enrollment, below 400% FPL ]]+Table134[[#This Row],[Uninsured Marketplace Eligible, Below 400% FPL ]])*12</f>
        <v>206844202.13033694</v>
      </c>
      <c r="Z45"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76392577.384086803</v>
      </c>
      <c r="AA45" s="112">
        <f>Table134[[#This Row],[Total Potential Aggregate Annual Subsidy for Newly Eligible,
under 400% FPL]]+Table134[[#This Row],[Total Potential Aggregate Annual Subsidy for Newly Eligible,
above 400% FPL]]</f>
        <v>283236779.51442373</v>
      </c>
      <c r="AB45" s="23">
        <v>24000</v>
      </c>
      <c r="AC45" s="20">
        <v>-49525</v>
      </c>
    </row>
    <row r="46" spans="1:29" s="250" customFormat="1" ht="17.25" customHeight="1" x14ac:dyDescent="0.25">
      <c r="A46" s="90" t="s">
        <v>26</v>
      </c>
      <c r="B46" s="54" t="s">
        <v>134</v>
      </c>
      <c r="C46" s="8" t="s">
        <v>55</v>
      </c>
      <c r="D46" s="18">
        <f t="shared" si="5"/>
        <v>219930</v>
      </c>
      <c r="E46" s="19">
        <v>171406</v>
      </c>
      <c r="F46" s="19">
        <v>48524</v>
      </c>
      <c r="G46" s="20">
        <f t="shared" si="6"/>
        <v>31297.98</v>
      </c>
      <c r="H46" s="23">
        <v>87004.5</v>
      </c>
      <c r="I46" s="19">
        <f t="shared" si="18"/>
        <v>33061.71</v>
      </c>
      <c r="J46" s="19">
        <f t="shared" si="19"/>
        <v>53942.79</v>
      </c>
      <c r="K46" s="20">
        <f t="shared" si="20"/>
        <v>31286.818199999998</v>
      </c>
      <c r="L46" s="23">
        <f t="shared" si="10"/>
        <v>308100</v>
      </c>
      <c r="M46" s="19">
        <v>208100</v>
      </c>
      <c r="N46" s="19">
        <v>100000</v>
      </c>
      <c r="O46" s="63">
        <f t="shared" si="11"/>
        <v>57999.999999999993</v>
      </c>
      <c r="P46" s="23">
        <f t="shared" si="12"/>
        <v>202466.79</v>
      </c>
      <c r="Q46" s="19">
        <f t="shared" si="13"/>
        <v>120584.79819999999</v>
      </c>
      <c r="R46" s="20">
        <f t="shared" si="14"/>
        <v>361746.50819999998</v>
      </c>
      <c r="S46" s="112">
        <v>417.78</v>
      </c>
      <c r="T46" s="118">
        <v>171406</v>
      </c>
      <c r="U46" s="112">
        <f>Table134[[#This Row],[2020 Average Subsidy Per Enrollee Per Month]]*Table134[[#This Row],[2020 Average Count of APTC Enrollees]]</f>
        <v>71609998.679999992</v>
      </c>
      <c r="V46" s="112">
        <f>Table134[[#This Row],[2020 Average Subsidy Per Enrollee Per Month]]*$T$7</f>
        <v>485.98897959183671</v>
      </c>
      <c r="W46" s="112">
        <f>Table134[[#This Row],[Estimated Monthly Subsidy Per Enrollee, under 400% FPL]]-Table134[[#This Row],[2020 Average Subsidy Per Enrollee Per Month]]</f>
        <v>68.208979591836737</v>
      </c>
      <c r="X46" s="112">
        <f>Table134[[#This Row],[2020 Average Subsidy Per Enrollee Per Month]]*$T$7*$T$8</f>
        <v>284.77248979591837</v>
      </c>
      <c r="Y46" s="112">
        <f>Table134[[#This Row],[Estimated Monthly Subsidy Per Enrollee, under 400% FPL]]*(Table134[[#This Row],[ Off-Exchange  Enrollment, below 400% FPL ]]+Table134[[#This Row],[Uninsured Marketplace Eligible, Below 400% FPL ]])*12</f>
        <v>1406423200.3142691</v>
      </c>
      <c r="Z46"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412070798.57942843</v>
      </c>
      <c r="AA46" s="112">
        <f>Table134[[#This Row],[Total Potential Aggregate Annual Subsidy for Newly Eligible,
under 400% FPL]]+Table134[[#This Row],[Total Potential Aggregate Annual Subsidy for Newly Eligible,
above 400% FPL]]</f>
        <v>1818493998.8936975</v>
      </c>
      <c r="AB46" s="23">
        <v>198000</v>
      </c>
      <c r="AC46" s="20">
        <v>-9245</v>
      </c>
    </row>
    <row r="47" spans="1:29" s="250" customFormat="1" ht="17.25" customHeight="1" x14ac:dyDescent="0.25">
      <c r="A47" s="90" t="s">
        <v>27</v>
      </c>
      <c r="B47" s="54" t="s">
        <v>135</v>
      </c>
      <c r="C47" s="8" t="s">
        <v>54</v>
      </c>
      <c r="D47" s="18">
        <f t="shared" si="5"/>
        <v>38554</v>
      </c>
      <c r="E47" s="19">
        <v>29888</v>
      </c>
      <c r="F47" s="19">
        <v>8666</v>
      </c>
      <c r="G47" s="20">
        <f t="shared" si="6"/>
        <v>5589.57</v>
      </c>
      <c r="H47" s="23">
        <v>14145.19</v>
      </c>
      <c r="I47" s="19">
        <f t="shared" si="18"/>
        <v>5375.1722</v>
      </c>
      <c r="J47" s="19">
        <f t="shared" si="19"/>
        <v>8770.0178000000014</v>
      </c>
      <c r="K47" s="20">
        <f t="shared" si="20"/>
        <v>5086.6103240000002</v>
      </c>
      <c r="L47" s="23">
        <f t="shared" si="10"/>
        <v>88600</v>
      </c>
      <c r="M47" s="19">
        <v>66500</v>
      </c>
      <c r="N47" s="19">
        <v>22100</v>
      </c>
      <c r="O47" s="63">
        <f t="shared" si="11"/>
        <v>12818</v>
      </c>
      <c r="P47" s="23">
        <f t="shared" si="12"/>
        <v>39536.017800000001</v>
      </c>
      <c r="Q47" s="19">
        <f t="shared" si="13"/>
        <v>23494.180324000001</v>
      </c>
      <c r="R47" s="20">
        <f t="shared" si="14"/>
        <v>95369.352524000002</v>
      </c>
      <c r="S47" s="112">
        <v>374.08</v>
      </c>
      <c r="T47" s="118">
        <v>29888</v>
      </c>
      <c r="U47" s="112">
        <f>Table134[[#This Row],[2020 Average Subsidy Per Enrollee Per Month]]*Table134[[#This Row],[2020 Average Count of APTC Enrollees]]</f>
        <v>11180503.039999999</v>
      </c>
      <c r="V47" s="112">
        <f>Table134[[#This Row],[2020 Average Subsidy Per Enrollee Per Month]]*$T$7</f>
        <v>435.15428571428566</v>
      </c>
      <c r="W47" s="112">
        <f>Table134[[#This Row],[Estimated Monthly Subsidy Per Enrollee, under 400% FPL]]-Table134[[#This Row],[2020 Average Subsidy Per Enrollee Per Month]]</f>
        <v>61.074285714285679</v>
      </c>
      <c r="X47" s="112">
        <f>Table134[[#This Row],[2020 Average Subsidy Per Enrollee Per Month]]*$T$7*$T$8</f>
        <v>254.98514285714285</v>
      </c>
      <c r="Y47" s="112">
        <f>Table134[[#This Row],[Estimated Monthly Subsidy Per Enrollee, under 400% FPL]]*(Table134[[#This Row],[ Off-Exchange  Enrollment, below 400% FPL ]]+Table134[[#This Row],[Uninsured Marketplace Eligible, Below 400% FPL ]])*12</f>
        <v>375321470.63138735</v>
      </c>
      <c r="Z47"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71888003.114719376</v>
      </c>
      <c r="AA47" s="112">
        <f>Table134[[#This Row],[Total Potential Aggregate Annual Subsidy for Newly Eligible,
under 400% FPL]]+Table134[[#This Row],[Total Potential Aggregate Annual Subsidy for Newly Eligible,
above 400% FPL]]</f>
        <v>447209473.74610674</v>
      </c>
      <c r="AB47" s="23">
        <v>83000</v>
      </c>
      <c r="AC47" s="20">
        <v>-19994</v>
      </c>
    </row>
    <row r="48" spans="1:29" s="250" customFormat="1" ht="17.25" customHeight="1" x14ac:dyDescent="0.25">
      <c r="A48" s="90" t="s">
        <v>248</v>
      </c>
      <c r="B48" s="54" t="s">
        <v>136</v>
      </c>
      <c r="C48" s="8" t="s">
        <v>55</v>
      </c>
      <c r="D48" s="18">
        <f t="shared" ref="D48:D66" si="21">SUM(E48:F48)</f>
        <v>240364</v>
      </c>
      <c r="E48" s="19">
        <v>136382</v>
      </c>
      <c r="F48" s="19">
        <v>103982</v>
      </c>
      <c r="G48" s="20">
        <f t="shared" ref="G48:G66" si="22">F48*G$8</f>
        <v>67068.39</v>
      </c>
      <c r="H48" s="23">
        <v>51316.75</v>
      </c>
      <c r="I48" s="19">
        <f t="shared" si="18"/>
        <v>19500.365000000002</v>
      </c>
      <c r="J48" s="19">
        <f t="shared" si="19"/>
        <v>31816.384999999998</v>
      </c>
      <c r="K48" s="20">
        <f t="shared" si="20"/>
        <v>18453.503299999997</v>
      </c>
      <c r="L48" s="23">
        <f t="shared" ref="L48:L65" si="23">SUM(M48:N48)</f>
        <v>505400</v>
      </c>
      <c r="M48" s="19">
        <v>330500</v>
      </c>
      <c r="N48" s="19">
        <v>174900</v>
      </c>
      <c r="O48" s="63">
        <f t="shared" ref="O48:O66" si="24">N48*O$8</f>
        <v>101442</v>
      </c>
      <c r="P48" s="23">
        <f t="shared" ref="P48:P66" si="25">SUM(F48,J48,N48)</f>
        <v>310698.38500000001</v>
      </c>
      <c r="Q48" s="19">
        <f t="shared" ref="Q48:Q66" si="26">SUM(G48,K48,O48)</f>
        <v>186963.8933</v>
      </c>
      <c r="R48" s="20">
        <f t="shared" ref="R48:R66" si="27">SUM(G48,I48,K48,M48,O48)</f>
        <v>536964.25829999999</v>
      </c>
      <c r="S48" s="112">
        <v>336.21</v>
      </c>
      <c r="T48" s="118">
        <v>136382</v>
      </c>
      <c r="U48" s="112">
        <f>Table134[[#This Row],[2020 Average Subsidy Per Enrollee Per Month]]*Table134[[#This Row],[2020 Average Count of APTC Enrollees]]</f>
        <v>45852992.219999999</v>
      </c>
      <c r="V48" s="112">
        <f>Table134[[#This Row],[2020 Average Subsidy Per Enrollee Per Month]]*$T$7</f>
        <v>391.10142857142853</v>
      </c>
      <c r="W48" s="112">
        <f>Table134[[#This Row],[Estimated Monthly Subsidy Per Enrollee, under 400% FPL]]-Table134[[#This Row],[2020 Average Subsidy Per Enrollee Per Month]]</f>
        <v>54.891428571428548</v>
      </c>
      <c r="X48" s="112">
        <f>Table134[[#This Row],[2020 Average Subsidy Per Enrollee Per Month]]*$T$7*$T$8</f>
        <v>229.17171428571427</v>
      </c>
      <c r="Y48" s="112">
        <f>Table134[[#This Row],[Estimated Monthly Subsidy Per Enrollee, under 400% FPL]]*(Table134[[#This Row],[ Off-Exchange  Enrollment, below 400% FPL ]]+Table134[[#This Row],[Uninsured Marketplace Eligible, Below 400% FPL ]])*12</f>
        <v>1642627713.0242567</v>
      </c>
      <c r="Z48"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514162031.24510849</v>
      </c>
      <c r="AA48" s="112">
        <f>Table134[[#This Row],[Total Potential Aggregate Annual Subsidy for Newly Eligible,
under 400% FPL]]+Table134[[#This Row],[Total Potential Aggregate Annual Subsidy for Newly Eligible,
above 400% FPL]]</f>
        <v>2156789744.2693653</v>
      </c>
      <c r="AB48" s="23">
        <v>326000</v>
      </c>
      <c r="AC48" s="20">
        <v>-70719</v>
      </c>
    </row>
    <row r="49" spans="1:29" s="250" customFormat="1" ht="17.25" customHeight="1" x14ac:dyDescent="0.25">
      <c r="A49" s="90" t="s">
        <v>28</v>
      </c>
      <c r="B49" s="54" t="s">
        <v>137</v>
      </c>
      <c r="C49" s="8" t="s">
        <v>53</v>
      </c>
      <c r="D49" s="18">
        <f t="shared" si="21"/>
        <v>462674</v>
      </c>
      <c r="E49" s="19">
        <v>430345</v>
      </c>
      <c r="F49" s="19">
        <v>32329</v>
      </c>
      <c r="G49" s="20">
        <f t="shared" si="22"/>
        <v>20852.205000000002</v>
      </c>
      <c r="H49" s="23">
        <v>36947.75</v>
      </c>
      <c r="I49" s="19">
        <f t="shared" si="18"/>
        <v>14040.145</v>
      </c>
      <c r="J49" s="19">
        <f t="shared" si="19"/>
        <v>22907.605</v>
      </c>
      <c r="K49" s="20">
        <f t="shared" si="20"/>
        <v>13286.410899999999</v>
      </c>
      <c r="L49" s="23">
        <f t="shared" si="23"/>
        <v>589400</v>
      </c>
      <c r="M49" s="19">
        <v>472900</v>
      </c>
      <c r="N49" s="19">
        <v>116500</v>
      </c>
      <c r="O49" s="63">
        <f t="shared" si="24"/>
        <v>67570</v>
      </c>
      <c r="P49" s="23">
        <f t="shared" si="25"/>
        <v>171736.60499999998</v>
      </c>
      <c r="Q49" s="19">
        <f t="shared" si="26"/>
        <v>101708.6159</v>
      </c>
      <c r="R49" s="20">
        <f t="shared" si="27"/>
        <v>588648.76089999999</v>
      </c>
      <c r="S49" s="112">
        <v>607.04999999999995</v>
      </c>
      <c r="T49" s="118">
        <v>430345</v>
      </c>
      <c r="U49" s="112">
        <f>Table134[[#This Row],[2020 Average Subsidy Per Enrollee Per Month]]*Table134[[#This Row],[2020 Average Count of APTC Enrollees]]</f>
        <v>261240932.24999997</v>
      </c>
      <c r="V49" s="112">
        <f>Table134[[#This Row],[2020 Average Subsidy Per Enrollee Per Month]]*$T$7</f>
        <v>706.16020408163263</v>
      </c>
      <c r="W49" s="112">
        <f>Table134[[#This Row],[Estimated Monthly Subsidy Per Enrollee, under 400% FPL]]-Table134[[#This Row],[2020 Average Subsidy Per Enrollee Per Month]]</f>
        <v>99.110204081632673</v>
      </c>
      <c r="X49" s="112">
        <f>Table134[[#This Row],[2020 Average Subsidy Per Enrollee Per Month]]*$T$7*$T$8</f>
        <v>413.78510204081635</v>
      </c>
      <c r="Y49" s="112">
        <f>Table134[[#This Row],[Estimated Monthly Subsidy Per Enrollee, under 400% FPL]]*(Table134[[#This Row],[ Off-Exchange  Enrollment, below 400% FPL ]]+Table134[[#This Row],[Uninsured Marketplace Eligible, Below 400% FPL ]])*12</f>
        <v>4126293026.0248775</v>
      </c>
      <c r="Z49"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505026120.10334039</v>
      </c>
      <c r="AA49" s="112">
        <f>Table134[[#This Row],[Total Potential Aggregate Annual Subsidy for Newly Eligible,
under 400% FPL]]+Table134[[#This Row],[Total Potential Aggregate Annual Subsidy for Newly Eligible,
above 400% FPL]]</f>
        <v>4631319146.1282177</v>
      </c>
      <c r="AB49" s="23">
        <v>102000</v>
      </c>
      <c r="AC49" s="20">
        <v>-40365</v>
      </c>
    </row>
    <row r="50" spans="1:29" s="250" customFormat="1" ht="17.25" customHeight="1" x14ac:dyDescent="0.25">
      <c r="A50" s="90" t="s">
        <v>29</v>
      </c>
      <c r="B50" s="54" t="s">
        <v>138</v>
      </c>
      <c r="C50" s="8" t="s">
        <v>53</v>
      </c>
      <c r="D50" s="18">
        <f t="shared" si="21"/>
        <v>20345</v>
      </c>
      <c r="E50" s="19">
        <v>17348</v>
      </c>
      <c r="F50" s="19">
        <v>2997</v>
      </c>
      <c r="G50" s="20">
        <f t="shared" si="22"/>
        <v>1933.0650000000001</v>
      </c>
      <c r="H50" s="23">
        <v>15096.54</v>
      </c>
      <c r="I50" s="19">
        <f t="shared" si="18"/>
        <v>5736.6852000000008</v>
      </c>
      <c r="J50" s="19">
        <f t="shared" si="19"/>
        <v>9359.854800000001</v>
      </c>
      <c r="K50" s="20">
        <f t="shared" si="20"/>
        <v>5428.715784</v>
      </c>
      <c r="L50" s="23">
        <f t="shared" si="23"/>
        <v>31800</v>
      </c>
      <c r="M50" s="19">
        <v>18100</v>
      </c>
      <c r="N50" s="19">
        <v>13700</v>
      </c>
      <c r="O50" s="63">
        <f t="shared" si="24"/>
        <v>7945.9999999999991</v>
      </c>
      <c r="P50" s="23">
        <f t="shared" si="25"/>
        <v>26056.854800000001</v>
      </c>
      <c r="Q50" s="19">
        <f t="shared" si="26"/>
        <v>15307.780783999999</v>
      </c>
      <c r="R50" s="20">
        <f t="shared" si="27"/>
        <v>39144.465984000002</v>
      </c>
      <c r="S50" s="112">
        <v>320.08</v>
      </c>
      <c r="T50" s="118">
        <v>17348</v>
      </c>
      <c r="U50" s="112">
        <f>Table134[[#This Row],[2020 Average Subsidy Per Enrollee Per Month]]*Table134[[#This Row],[2020 Average Count of APTC Enrollees]]</f>
        <v>5552747.8399999999</v>
      </c>
      <c r="V50" s="112">
        <f>Table134[[#This Row],[2020 Average Subsidy Per Enrollee Per Month]]*$T$7</f>
        <v>372.33795918367343</v>
      </c>
      <c r="W50" s="112">
        <f>Table134[[#This Row],[Estimated Monthly Subsidy Per Enrollee, under 400% FPL]]-Table134[[#This Row],[2020 Average Subsidy Per Enrollee Per Month]]</f>
        <v>52.257959183673449</v>
      </c>
      <c r="X50" s="112">
        <f>Table134[[#This Row],[2020 Average Subsidy Per Enrollee Per Month]]*$T$7*$T$8</f>
        <v>218.17697959183673</v>
      </c>
      <c r="Y50" s="112">
        <f>Table134[[#This Row],[Estimated Monthly Subsidy Per Enrollee, under 400% FPL]]*(Table134[[#This Row],[ Off-Exchange  Enrollment, below 400% FPL ]]+Table134[[#This Row],[Uninsured Marketplace Eligible, Below 400% FPL ]])*12</f>
        <v>106503632.65286006</v>
      </c>
      <c r="Z50"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40077664.508484945</v>
      </c>
      <c r="AA50" s="112">
        <f>Table134[[#This Row],[Total Potential Aggregate Annual Subsidy for Newly Eligible,
under 400% FPL]]+Table134[[#This Row],[Total Potential Aggregate Annual Subsidy for Newly Eligible,
above 400% FPL]]</f>
        <v>146581297.16134501</v>
      </c>
      <c r="AB50" s="23">
        <v>19000</v>
      </c>
      <c r="AC50" s="20">
        <v>-5930</v>
      </c>
    </row>
    <row r="51" spans="1:29" s="250" customFormat="1" ht="17.25" customHeight="1" x14ac:dyDescent="0.25">
      <c r="A51" s="90" t="s">
        <v>30</v>
      </c>
      <c r="B51" s="54" t="s">
        <v>139</v>
      </c>
      <c r="C51" s="8" t="s">
        <v>53</v>
      </c>
      <c r="D51" s="18">
        <f t="shared" si="21"/>
        <v>179246</v>
      </c>
      <c r="E51" s="19">
        <v>138058</v>
      </c>
      <c r="F51" s="19">
        <v>41188</v>
      </c>
      <c r="G51" s="20">
        <f t="shared" si="22"/>
        <v>26566.260000000002</v>
      </c>
      <c r="H51" s="23">
        <v>27680.799999999999</v>
      </c>
      <c r="I51" s="19">
        <f t="shared" si="18"/>
        <v>10518.704</v>
      </c>
      <c r="J51" s="19">
        <f t="shared" si="19"/>
        <v>17162.095999999998</v>
      </c>
      <c r="K51" s="20">
        <f t="shared" si="20"/>
        <v>9954.0156799999986</v>
      </c>
      <c r="L51" s="23">
        <f t="shared" si="23"/>
        <v>418400</v>
      </c>
      <c r="M51" s="19">
        <v>325200</v>
      </c>
      <c r="N51" s="19">
        <v>93200</v>
      </c>
      <c r="O51" s="63">
        <f t="shared" si="24"/>
        <v>54055.999999999993</v>
      </c>
      <c r="P51" s="23">
        <f t="shared" si="25"/>
        <v>151550.09599999999</v>
      </c>
      <c r="Q51" s="19">
        <f t="shared" si="26"/>
        <v>90576.275679999992</v>
      </c>
      <c r="R51" s="20">
        <f t="shared" si="27"/>
        <v>426294.97967999999</v>
      </c>
      <c r="S51" s="112">
        <v>388.08</v>
      </c>
      <c r="T51" s="118">
        <v>138058</v>
      </c>
      <c r="U51" s="112">
        <f>Table134[[#This Row],[2020 Average Subsidy Per Enrollee Per Month]]*Table134[[#This Row],[2020 Average Count of APTC Enrollees]]</f>
        <v>53577548.640000001</v>
      </c>
      <c r="V51" s="112">
        <f>Table134[[#This Row],[2020 Average Subsidy Per Enrollee Per Month]]*$T$7</f>
        <v>451.43999999999994</v>
      </c>
      <c r="W51" s="112">
        <f>Table134[[#This Row],[Estimated Monthly Subsidy Per Enrollee, under 400% FPL]]-Table134[[#This Row],[2020 Average Subsidy Per Enrollee Per Month]]</f>
        <v>63.359999999999957</v>
      </c>
      <c r="X51" s="112">
        <f>Table134[[#This Row],[2020 Average Subsidy Per Enrollee Per Month]]*$T$7*$T$8</f>
        <v>264.52799999999996</v>
      </c>
      <c r="Y51" s="112">
        <f>Table134[[#This Row],[Estimated Monthly Subsidy Per Enrollee, under 400% FPL]]*(Table134[[#This Row],[ Off-Exchange  Enrollment, below 400% FPL ]]+Table134[[#This Row],[Uninsured Marketplace Eligible, Below 400% FPL ]])*12</f>
        <v>1818682220.80512</v>
      </c>
      <c r="Z51"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287519532.63694841</v>
      </c>
      <c r="AA51" s="112">
        <f>Table134[[#This Row],[Total Potential Aggregate Annual Subsidy for Newly Eligible,
under 400% FPL]]+Table134[[#This Row],[Total Potential Aggregate Annual Subsidy for Newly Eligible,
above 400% FPL]]</f>
        <v>2106201753.4420683</v>
      </c>
      <c r="AB51" s="23">
        <v>300000</v>
      </c>
      <c r="AC51" s="20">
        <v>-50253</v>
      </c>
    </row>
    <row r="52" spans="1:29" s="250" customFormat="1" ht="17.25" customHeight="1" x14ac:dyDescent="0.25">
      <c r="A52" s="90" t="s">
        <v>31</v>
      </c>
      <c r="B52" s="54" t="s">
        <v>140</v>
      </c>
      <c r="C52" s="8" t="s">
        <v>53</v>
      </c>
      <c r="D52" s="18">
        <f t="shared" si="21"/>
        <v>142658</v>
      </c>
      <c r="E52" s="19">
        <v>135190</v>
      </c>
      <c r="F52" s="19">
        <v>7468</v>
      </c>
      <c r="G52" s="20">
        <f t="shared" si="22"/>
        <v>4816.8600000000006</v>
      </c>
      <c r="H52" s="23">
        <v>10341.09</v>
      </c>
      <c r="I52" s="19">
        <f t="shared" si="18"/>
        <v>3929.6142</v>
      </c>
      <c r="J52" s="19">
        <f t="shared" si="19"/>
        <v>6411.4758000000002</v>
      </c>
      <c r="K52" s="20">
        <f t="shared" si="20"/>
        <v>3718.655964</v>
      </c>
      <c r="L52" s="23">
        <f t="shared" si="23"/>
        <v>297200</v>
      </c>
      <c r="M52" s="19">
        <v>236200</v>
      </c>
      <c r="N52" s="19">
        <v>61000</v>
      </c>
      <c r="O52" s="63">
        <f t="shared" si="24"/>
        <v>35380</v>
      </c>
      <c r="P52" s="23">
        <f t="shared" si="25"/>
        <v>74879.4758</v>
      </c>
      <c r="Q52" s="19">
        <f t="shared" si="26"/>
        <v>43915.515963999998</v>
      </c>
      <c r="R52" s="20">
        <f t="shared" si="27"/>
        <v>284045.13016399997</v>
      </c>
      <c r="S52" s="112">
        <v>598.13</v>
      </c>
      <c r="T52" s="118">
        <v>135190</v>
      </c>
      <c r="U52" s="112">
        <f>Table134[[#This Row],[2020 Average Subsidy Per Enrollee Per Month]]*Table134[[#This Row],[2020 Average Count of APTC Enrollees]]</f>
        <v>80861194.700000003</v>
      </c>
      <c r="V52" s="112">
        <f>Table134[[#This Row],[2020 Average Subsidy Per Enrollee Per Month]]*$T$7</f>
        <v>695.7838775510204</v>
      </c>
      <c r="W52" s="112">
        <f>Table134[[#This Row],[Estimated Monthly Subsidy Per Enrollee, under 400% FPL]]-Table134[[#This Row],[2020 Average Subsidy Per Enrollee Per Month]]</f>
        <v>97.6538775510204</v>
      </c>
      <c r="X52" s="112">
        <f>Table134[[#This Row],[2020 Average Subsidy Per Enrollee Per Month]]*$T$7*$T$8</f>
        <v>407.70493877551024</v>
      </c>
      <c r="Y52" s="112">
        <f>Table134[[#This Row],[Estimated Monthly Subsidy Per Enrollee, under 400% FPL]]*(Table134[[#This Row],[ Off-Exchange  Enrollment, below 400% FPL ]]+Table134[[#This Row],[Uninsured Marketplace Eligible, Below 400% FPL ]])*12</f>
        <v>2004939768.9948788</v>
      </c>
      <c r="Z52"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214854872.96877074</v>
      </c>
      <c r="AA52" s="112">
        <f>Table134[[#This Row],[Total Potential Aggregate Annual Subsidy for Newly Eligible,
under 400% FPL]]+Table134[[#This Row],[Total Potential Aggregate Annual Subsidy for Newly Eligible,
above 400% FPL]]</f>
        <v>2219794641.9636497</v>
      </c>
      <c r="AB52" s="23">
        <v>263000</v>
      </c>
      <c r="AC52" s="20">
        <v>-47491</v>
      </c>
    </row>
    <row r="53" spans="1:29" s="250" customFormat="1" ht="17.25" customHeight="1" x14ac:dyDescent="0.25">
      <c r="A53" s="90" t="s">
        <v>247</v>
      </c>
      <c r="B53" s="54" t="s">
        <v>141</v>
      </c>
      <c r="C53" s="8" t="s">
        <v>54</v>
      </c>
      <c r="D53" s="18">
        <f t="shared" si="21"/>
        <v>132252</v>
      </c>
      <c r="E53" s="19">
        <v>98008</v>
      </c>
      <c r="F53" s="19">
        <v>34244</v>
      </c>
      <c r="G53" s="20">
        <f t="shared" si="22"/>
        <v>22087.38</v>
      </c>
      <c r="H53" s="23">
        <v>49333.919999999998</v>
      </c>
      <c r="I53" s="19">
        <f t="shared" si="18"/>
        <v>18746.889599999999</v>
      </c>
      <c r="J53" s="19">
        <f t="shared" si="19"/>
        <v>30587.0304</v>
      </c>
      <c r="K53" s="20">
        <f t="shared" si="20"/>
        <v>17740.477631999998</v>
      </c>
      <c r="L53" s="23">
        <f t="shared" si="23"/>
        <v>164100</v>
      </c>
      <c r="M53" s="19">
        <v>112600</v>
      </c>
      <c r="N53" s="19">
        <v>51500</v>
      </c>
      <c r="O53" s="63">
        <f t="shared" si="24"/>
        <v>29869.999999999996</v>
      </c>
      <c r="P53" s="23">
        <f t="shared" si="25"/>
        <v>116331.0304</v>
      </c>
      <c r="Q53" s="19">
        <f t="shared" si="26"/>
        <v>69697.857631999999</v>
      </c>
      <c r="R53" s="20">
        <f t="shared" si="27"/>
        <v>201044.74723199999</v>
      </c>
      <c r="S53" s="112">
        <v>452.29</v>
      </c>
      <c r="T53" s="118">
        <v>98008</v>
      </c>
      <c r="U53" s="112">
        <f>Table134[[#This Row],[2020 Average Subsidy Per Enrollee Per Month]]*Table134[[#This Row],[2020 Average Count of APTC Enrollees]]</f>
        <v>44328038.32</v>
      </c>
      <c r="V53" s="112">
        <f>Table134[[#This Row],[2020 Average Subsidy Per Enrollee Per Month]]*$T$7</f>
        <v>526.13326530612244</v>
      </c>
      <c r="W53" s="112">
        <f>Table134[[#This Row],[Estimated Monthly Subsidy Per Enrollee, under 400% FPL]]-Table134[[#This Row],[2020 Average Subsidy Per Enrollee Per Month]]</f>
        <v>73.843265306122419</v>
      </c>
      <c r="X53" s="112">
        <f>Table134[[#This Row],[2020 Average Subsidy Per Enrollee Per Month]]*$T$7*$T$8</f>
        <v>308.29563265306126</v>
      </c>
      <c r="Y53" s="112">
        <f>Table134[[#This Row],[Estimated Monthly Subsidy Per Enrollee, under 400% FPL]]*(Table134[[#This Row],[ Off-Exchange  Enrollment, below 400% FPL ]]+Table134[[#This Row],[Uninsured Marketplace Eligible, Below 400% FPL ]])*12</f>
        <v>829271614.95660925</v>
      </c>
      <c r="Z53"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257850541.3586452</v>
      </c>
      <c r="AA53" s="112">
        <f>Table134[[#This Row],[Total Potential Aggregate Annual Subsidy for Newly Eligible,
under 400% FPL]]+Table134[[#This Row],[Total Potential Aggregate Annual Subsidy for Newly Eligible,
above 400% FPL]]</f>
        <v>1087122156.3152544</v>
      </c>
      <c r="AB53" s="23">
        <v>96000</v>
      </c>
      <c r="AC53" s="20">
        <v>-54625</v>
      </c>
    </row>
    <row r="54" spans="1:29" s="250" customFormat="1" ht="17.25" customHeight="1" x14ac:dyDescent="0.25">
      <c r="A54" s="90" t="s">
        <v>32</v>
      </c>
      <c r="B54" s="54" t="s">
        <v>142</v>
      </c>
      <c r="C54" s="8" t="s">
        <v>55</v>
      </c>
      <c r="D54" s="18">
        <f t="shared" si="21"/>
        <v>298270</v>
      </c>
      <c r="E54" s="19">
        <v>258393</v>
      </c>
      <c r="F54" s="19">
        <v>39877</v>
      </c>
      <c r="G54" s="20">
        <f t="shared" si="22"/>
        <v>25720.665000000001</v>
      </c>
      <c r="H54" s="23">
        <v>105617.5</v>
      </c>
      <c r="I54" s="19">
        <f t="shared" si="18"/>
        <v>40134.65</v>
      </c>
      <c r="J54" s="19">
        <f t="shared" si="19"/>
        <v>65482.85</v>
      </c>
      <c r="K54" s="20">
        <f t="shared" si="20"/>
        <v>37980.053</v>
      </c>
      <c r="L54" s="23">
        <f t="shared" si="23"/>
        <v>375700</v>
      </c>
      <c r="M54" s="19">
        <v>265800</v>
      </c>
      <c r="N54" s="19">
        <v>109900</v>
      </c>
      <c r="O54" s="63">
        <f t="shared" si="24"/>
        <v>63741.999999999993</v>
      </c>
      <c r="P54" s="23">
        <f t="shared" si="25"/>
        <v>215259.85</v>
      </c>
      <c r="Q54" s="19">
        <f t="shared" si="26"/>
        <v>127442.71799999999</v>
      </c>
      <c r="R54" s="20">
        <f t="shared" si="27"/>
        <v>433377.36800000002</v>
      </c>
      <c r="S54" s="112">
        <v>515.55999999999995</v>
      </c>
      <c r="T54" s="118">
        <v>258393</v>
      </c>
      <c r="U54" s="112">
        <f>Table134[[#This Row],[2020 Average Subsidy Per Enrollee Per Month]]*Table134[[#This Row],[2020 Average Count of APTC Enrollees]]</f>
        <v>133217095.07999998</v>
      </c>
      <c r="V54" s="112">
        <f>Table134[[#This Row],[2020 Average Subsidy Per Enrollee Per Month]]*$T$7</f>
        <v>599.73306122448969</v>
      </c>
      <c r="W54" s="112">
        <f>Table134[[#This Row],[Estimated Monthly Subsidy Per Enrollee, under 400% FPL]]-Table134[[#This Row],[2020 Average Subsidy Per Enrollee Per Month]]</f>
        <v>84.173061224489743</v>
      </c>
      <c r="X54" s="112">
        <f>Table134[[#This Row],[2020 Average Subsidy Per Enrollee Per Month]]*$T$7*$T$8</f>
        <v>351.42253061224488</v>
      </c>
      <c r="Y54" s="112">
        <f>Table134[[#This Row],[Estimated Monthly Subsidy Per Enrollee, under 400% FPL]]*(Table134[[#This Row],[ Off-Exchange  Enrollment, below 400% FPL ]]+Table134[[#This Row],[Uninsured Marketplace Eligible, Below 400% FPL ]])*12</f>
        <v>2201749490.149714</v>
      </c>
      <c r="Z54"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537434909.6119523</v>
      </c>
      <c r="AA54" s="112">
        <f>Table134[[#This Row],[Total Potential Aggregate Annual Subsidy for Newly Eligible,
under 400% FPL]]+Table134[[#This Row],[Total Potential Aggregate Annual Subsidy for Newly Eligible,
above 400% FPL]]</f>
        <v>2739184399.7616663</v>
      </c>
      <c r="AB54" s="23">
        <v>292000</v>
      </c>
      <c r="AC54" s="20">
        <v>-139267</v>
      </c>
    </row>
    <row r="55" spans="1:29" s="250" customFormat="1" ht="17.25" customHeight="1" x14ac:dyDescent="0.25">
      <c r="A55" s="90" t="s">
        <v>33</v>
      </c>
      <c r="B55" s="54" t="s">
        <v>143</v>
      </c>
      <c r="C55" s="8" t="s">
        <v>55</v>
      </c>
      <c r="D55" s="18">
        <f t="shared" si="21"/>
        <v>33429</v>
      </c>
      <c r="E55" s="19">
        <v>27437</v>
      </c>
      <c r="F55" s="19">
        <v>5992</v>
      </c>
      <c r="G55" s="20">
        <f t="shared" si="22"/>
        <v>3864.84</v>
      </c>
      <c r="H55" s="23">
        <v>11410.06</v>
      </c>
      <c r="I55" s="19">
        <f t="shared" si="18"/>
        <v>4335.8227999999999</v>
      </c>
      <c r="J55" s="19">
        <f t="shared" si="19"/>
        <v>7074.2371999999996</v>
      </c>
      <c r="K55" s="20">
        <f t="shared" si="20"/>
        <v>4103.0575759999992</v>
      </c>
      <c r="L55" s="23">
        <f t="shared" si="23"/>
        <v>24600</v>
      </c>
      <c r="M55" s="19">
        <v>17900</v>
      </c>
      <c r="N55" s="19">
        <v>6700</v>
      </c>
      <c r="O55" s="63">
        <f t="shared" si="24"/>
        <v>3885.9999999999995</v>
      </c>
      <c r="P55" s="23">
        <f t="shared" si="25"/>
        <v>19766.2372</v>
      </c>
      <c r="Q55" s="19">
        <f t="shared" si="26"/>
        <v>11853.897575999999</v>
      </c>
      <c r="R55" s="20">
        <f t="shared" si="27"/>
        <v>34089.720375999997</v>
      </c>
      <c r="S55" s="112">
        <v>323.29000000000002</v>
      </c>
      <c r="T55" s="118">
        <v>27437</v>
      </c>
      <c r="U55" s="112">
        <f>Table134[[#This Row],[2020 Average Subsidy Per Enrollee Per Month]]*Table134[[#This Row],[2020 Average Count of APTC Enrollees]]</f>
        <v>8870107.7300000004</v>
      </c>
      <c r="V55" s="112">
        <f>Table134[[#This Row],[2020 Average Subsidy Per Enrollee Per Month]]*$T$7</f>
        <v>376.07204081632653</v>
      </c>
      <c r="W55" s="112">
        <f>Table134[[#This Row],[Estimated Monthly Subsidy Per Enrollee, under 400% FPL]]-Table134[[#This Row],[2020 Average Subsidy Per Enrollee Per Month]]</f>
        <v>52.782040816326514</v>
      </c>
      <c r="X55" s="112">
        <f>Table134[[#This Row],[2020 Average Subsidy Per Enrollee Per Month]]*$T$7*$T$8</f>
        <v>220.36502040816328</v>
      </c>
      <c r="Y55" s="112">
        <f>Table134[[#This Row],[Estimated Monthly Subsidy Per Enrollee, under 400% FPL]]*(Table134[[#This Row],[ Off-Exchange  Enrollment, below 400% FPL ]]+Table134[[#This Row],[Uninsured Marketplace Eligible, Below 400% FPL ]])*12</f>
        <v>100347255.11551446</v>
      </c>
      <c r="Z55"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31346212.575018205</v>
      </c>
      <c r="AA55" s="112">
        <f>Table134[[#This Row],[Total Potential Aggregate Annual Subsidy for Newly Eligible,
under 400% FPL]]+Table134[[#This Row],[Total Potential Aggregate Annual Subsidy for Newly Eligible,
above 400% FPL]]</f>
        <v>131693467.69053265</v>
      </c>
      <c r="AB55" s="23">
        <v>11000</v>
      </c>
      <c r="AC55" s="20">
        <v>-733</v>
      </c>
    </row>
    <row r="56" spans="1:29" s="250" customFormat="1" ht="17.25" customHeight="1" x14ac:dyDescent="0.25">
      <c r="A56" s="90" t="s">
        <v>34</v>
      </c>
      <c r="B56" s="54" t="s">
        <v>144</v>
      </c>
      <c r="C56" s="8" t="s">
        <v>53</v>
      </c>
      <c r="D56" s="18">
        <f t="shared" si="21"/>
        <v>191945</v>
      </c>
      <c r="E56" s="19">
        <v>178377</v>
      </c>
      <c r="F56" s="19">
        <v>13568</v>
      </c>
      <c r="G56" s="20">
        <f t="shared" si="22"/>
        <v>8751.36</v>
      </c>
      <c r="H56" s="23">
        <v>22575.86</v>
      </c>
      <c r="I56" s="19">
        <f t="shared" si="18"/>
        <v>8578.8268000000007</v>
      </c>
      <c r="J56" s="19">
        <f t="shared" si="19"/>
        <v>13997.0332</v>
      </c>
      <c r="K56" s="20">
        <f t="shared" si="20"/>
        <v>8118.2792559999998</v>
      </c>
      <c r="L56" s="23">
        <f t="shared" si="23"/>
        <v>275800</v>
      </c>
      <c r="M56" s="19">
        <v>216100</v>
      </c>
      <c r="N56" s="19">
        <v>59700</v>
      </c>
      <c r="O56" s="63">
        <f t="shared" si="24"/>
        <v>34626</v>
      </c>
      <c r="P56" s="23">
        <f t="shared" si="25"/>
        <v>87265.033200000005</v>
      </c>
      <c r="Q56" s="19">
        <f t="shared" si="26"/>
        <v>51495.639256000002</v>
      </c>
      <c r="R56" s="20">
        <f t="shared" si="27"/>
        <v>276174.46605599998</v>
      </c>
      <c r="S56" s="112">
        <v>541.53</v>
      </c>
      <c r="T56" s="118">
        <v>178377</v>
      </c>
      <c r="U56" s="112">
        <f>Table134[[#This Row],[2020 Average Subsidy Per Enrollee Per Month]]*Table134[[#This Row],[2020 Average Count of APTC Enrollees]]</f>
        <v>96596496.810000002</v>
      </c>
      <c r="V56" s="112">
        <f>Table134[[#This Row],[2020 Average Subsidy Per Enrollee Per Month]]*$T$7</f>
        <v>629.94306122448972</v>
      </c>
      <c r="W56" s="112">
        <f>Table134[[#This Row],[Estimated Monthly Subsidy Per Enrollee, under 400% FPL]]-Table134[[#This Row],[2020 Average Subsidy Per Enrollee Per Month]]</f>
        <v>88.413061224489752</v>
      </c>
      <c r="X56" s="112">
        <f>Table134[[#This Row],[2020 Average Subsidy Per Enrollee Per Month]]*$T$7*$T$8</f>
        <v>369.12453061224488</v>
      </c>
      <c r="Y56" s="112">
        <f>Table134[[#This Row],[Estimated Monthly Subsidy Per Enrollee, under 400% FPL]]*(Table134[[#This Row],[ Off-Exchange  Enrollment, below 400% FPL ]]+Table134[[#This Row],[Uninsured Marketplace Eligible, Below 400% FPL ]])*12</f>
        <v>1698418415.3606272</v>
      </c>
      <c r="Z56"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228099644.02738193</v>
      </c>
      <c r="AA56" s="112">
        <f>Table134[[#This Row],[Total Potential Aggregate Annual Subsidy for Newly Eligible,
under 400% FPL]]+Table134[[#This Row],[Total Potential Aggregate Annual Subsidy for Newly Eligible,
above 400% FPL]]</f>
        <v>1926518059.3880091</v>
      </c>
      <c r="AB56" s="23">
        <v>61000</v>
      </c>
      <c r="AC56" s="20">
        <v>-18407</v>
      </c>
    </row>
    <row r="57" spans="1:29" s="250" customFormat="1" ht="17.25" customHeight="1" x14ac:dyDescent="0.25">
      <c r="A57" s="90" t="s">
        <v>35</v>
      </c>
      <c r="B57" s="54" t="s">
        <v>145</v>
      </c>
      <c r="C57" s="8" t="s">
        <v>53</v>
      </c>
      <c r="D57" s="18">
        <f t="shared" si="21"/>
        <v>28176</v>
      </c>
      <c r="E57" s="19">
        <v>26377</v>
      </c>
      <c r="F57" s="19">
        <v>1799</v>
      </c>
      <c r="G57" s="20">
        <f t="shared" si="22"/>
        <v>1160.355</v>
      </c>
      <c r="H57" s="23">
        <v>5467.9549999999999</v>
      </c>
      <c r="I57" s="19">
        <f t="shared" si="18"/>
        <v>2077.8229000000001</v>
      </c>
      <c r="J57" s="19">
        <f t="shared" si="19"/>
        <v>3390.1320999999998</v>
      </c>
      <c r="K57" s="20">
        <f t="shared" si="20"/>
        <v>1966.2766179999996</v>
      </c>
      <c r="L57" s="23">
        <f t="shared" si="23"/>
        <v>48500</v>
      </c>
      <c r="M57" s="19">
        <v>39200</v>
      </c>
      <c r="N57" s="19">
        <v>9300</v>
      </c>
      <c r="O57" s="63">
        <f t="shared" si="24"/>
        <v>5394</v>
      </c>
      <c r="P57" s="23">
        <f t="shared" si="25"/>
        <v>14489.132099999999</v>
      </c>
      <c r="Q57" s="19">
        <f t="shared" si="26"/>
        <v>8520.6316179999994</v>
      </c>
      <c r="R57" s="20">
        <f t="shared" si="27"/>
        <v>49798.454517999999</v>
      </c>
      <c r="S57" s="112">
        <v>595.98</v>
      </c>
      <c r="T57" s="118">
        <v>26377</v>
      </c>
      <c r="U57" s="112">
        <f>Table134[[#This Row],[2020 Average Subsidy Per Enrollee Per Month]]*Table134[[#This Row],[2020 Average Count of APTC Enrollees]]</f>
        <v>15720164.460000001</v>
      </c>
      <c r="V57" s="112">
        <f>Table134[[#This Row],[2020 Average Subsidy Per Enrollee Per Month]]*$T$7</f>
        <v>693.2828571428571</v>
      </c>
      <c r="W57" s="112">
        <f>Table134[[#This Row],[Estimated Monthly Subsidy Per Enrollee, under 400% FPL]]-Table134[[#This Row],[2020 Average Subsidy Per Enrollee Per Month]]</f>
        <v>97.302857142857079</v>
      </c>
      <c r="X57" s="112">
        <f>Table134[[#This Row],[2020 Average Subsidy Per Enrollee Per Month]]*$T$7*$T$8</f>
        <v>406.23942857142856</v>
      </c>
      <c r="Y57" s="112">
        <f>Table134[[#This Row],[Estimated Monthly Subsidy Per Enrollee, under 400% FPL]]*(Table134[[#This Row],[ Off-Exchange  Enrollment, below 400% FPL ]]+Table134[[#This Row],[Uninsured Marketplace Eligible, Below 400% FPL ]])*12</f>
        <v>343406483.96098626</v>
      </c>
      <c r="Z57"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41536998.234767601</v>
      </c>
      <c r="AA57" s="112">
        <f>Table134[[#This Row],[Total Potential Aggregate Annual Subsidy for Newly Eligible,
under 400% FPL]]+Table134[[#This Row],[Total Potential Aggregate Annual Subsidy for Newly Eligible,
above 400% FPL]]</f>
        <v>384943482.19575387</v>
      </c>
      <c r="AB57" s="23">
        <v>12000</v>
      </c>
      <c r="AC57" s="20">
        <v>-12395</v>
      </c>
    </row>
    <row r="58" spans="1:29" s="250" customFormat="1" ht="17.25" customHeight="1" x14ac:dyDescent="0.25">
      <c r="A58" s="90" t="s">
        <v>36</v>
      </c>
      <c r="B58" s="54" t="s">
        <v>146</v>
      </c>
      <c r="C58" s="8" t="s">
        <v>53</v>
      </c>
      <c r="D58" s="18">
        <f t="shared" si="21"/>
        <v>182245</v>
      </c>
      <c r="E58" s="19">
        <v>162255</v>
      </c>
      <c r="F58" s="19">
        <v>19990</v>
      </c>
      <c r="G58" s="20">
        <f t="shared" si="22"/>
        <v>12893.550000000001</v>
      </c>
      <c r="H58" s="23">
        <v>8121.9219999999996</v>
      </c>
      <c r="I58" s="19">
        <f t="shared" si="18"/>
        <v>3086.3303599999999</v>
      </c>
      <c r="J58" s="19">
        <f t="shared" si="19"/>
        <v>5035.5916399999996</v>
      </c>
      <c r="K58" s="20">
        <f t="shared" si="20"/>
        <v>2920.6431511999995</v>
      </c>
      <c r="L58" s="23">
        <f t="shared" si="23"/>
        <v>349100</v>
      </c>
      <c r="M58" s="19">
        <v>284500</v>
      </c>
      <c r="N58" s="19">
        <v>64600</v>
      </c>
      <c r="O58" s="63">
        <f t="shared" si="24"/>
        <v>37468</v>
      </c>
      <c r="P58" s="23">
        <f t="shared" si="25"/>
        <v>89625.591639999999</v>
      </c>
      <c r="Q58" s="19">
        <f t="shared" si="26"/>
        <v>53282.193151200001</v>
      </c>
      <c r="R58" s="20">
        <f t="shared" si="27"/>
        <v>340868.52351119998</v>
      </c>
      <c r="S58" s="112">
        <v>577.86</v>
      </c>
      <c r="T58" s="118">
        <v>162255</v>
      </c>
      <c r="U58" s="112">
        <f>Table134[[#This Row],[2020 Average Subsidy Per Enrollee Per Month]]*Table134[[#This Row],[2020 Average Count of APTC Enrollees]]</f>
        <v>93760674.299999997</v>
      </c>
      <c r="V58" s="112">
        <f>Table134[[#This Row],[2020 Average Subsidy Per Enrollee Per Month]]*$T$7</f>
        <v>672.20448979591833</v>
      </c>
      <c r="W58" s="112">
        <f>Table134[[#This Row],[Estimated Monthly Subsidy Per Enrollee, under 400% FPL]]-Table134[[#This Row],[2020 Average Subsidy Per Enrollee Per Month]]</f>
        <v>94.344489795918321</v>
      </c>
      <c r="X58" s="112">
        <f>Table134[[#This Row],[2020 Average Subsidy Per Enrollee Per Month]]*$T$7*$T$8</f>
        <v>393.88824489795917</v>
      </c>
      <c r="Y58" s="112">
        <f>Table134[[#This Row],[Estimated Monthly Subsidy Per Enrollee, under 400% FPL]]*(Table134[[#This Row],[ Off-Exchange  Enrollment, below 400% FPL ]]+Table134[[#This Row],[Uninsured Marketplace Eligible, Below 400% FPL ]])*12</f>
        <v>2319801869.6630907</v>
      </c>
      <c r="Z58"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251846754.53568274</v>
      </c>
      <c r="AA58" s="112">
        <f>Table134[[#This Row],[Total Potential Aggregate Annual Subsidy for Newly Eligible,
under 400% FPL]]+Table134[[#This Row],[Total Potential Aggregate Annual Subsidy for Newly Eligible,
above 400% FPL]]</f>
        <v>2571648624.1987734</v>
      </c>
      <c r="AB58" s="23">
        <v>80000</v>
      </c>
      <c r="AC58" s="20">
        <v>-91443</v>
      </c>
    </row>
    <row r="59" spans="1:29" s="250" customFormat="1" ht="17.25" customHeight="1" x14ac:dyDescent="0.25">
      <c r="A59" s="90" t="s">
        <v>37</v>
      </c>
      <c r="B59" s="54" t="s">
        <v>147</v>
      </c>
      <c r="C59" s="8" t="s">
        <v>53</v>
      </c>
      <c r="D59" s="18">
        <f t="shared" si="21"/>
        <v>1016290</v>
      </c>
      <c r="E59" s="19">
        <v>929977</v>
      </c>
      <c r="F59" s="19">
        <v>86313</v>
      </c>
      <c r="G59" s="20">
        <f t="shared" si="22"/>
        <v>55671.885000000002</v>
      </c>
      <c r="H59" s="23">
        <v>88091.88</v>
      </c>
      <c r="I59" s="19">
        <f t="shared" si="18"/>
        <v>33474.914400000001</v>
      </c>
      <c r="J59" s="19">
        <f t="shared" si="19"/>
        <v>54616.965600000003</v>
      </c>
      <c r="K59" s="20">
        <f t="shared" si="20"/>
        <v>31677.840047999998</v>
      </c>
      <c r="L59" s="23">
        <f t="shared" si="23"/>
        <v>2580400</v>
      </c>
      <c r="M59" s="19">
        <v>2015200</v>
      </c>
      <c r="N59" s="19">
        <v>565200</v>
      </c>
      <c r="O59" s="63">
        <f t="shared" si="24"/>
        <v>327816</v>
      </c>
      <c r="P59" s="23">
        <f t="shared" si="25"/>
        <v>706129.9656</v>
      </c>
      <c r="Q59" s="19">
        <f t="shared" si="26"/>
        <v>415165.72504799999</v>
      </c>
      <c r="R59" s="20">
        <f t="shared" si="27"/>
        <v>2463840.6394480001</v>
      </c>
      <c r="S59" s="112">
        <v>468.9</v>
      </c>
      <c r="T59" s="118">
        <v>929977</v>
      </c>
      <c r="U59" s="112">
        <f>Table134[[#This Row],[2020 Average Subsidy Per Enrollee Per Month]]*Table134[[#This Row],[2020 Average Count of APTC Enrollees]]</f>
        <v>436066215.29999995</v>
      </c>
      <c r="V59" s="112">
        <f>Table134[[#This Row],[2020 Average Subsidy Per Enrollee Per Month]]*$T$7</f>
        <v>545.45510204081631</v>
      </c>
      <c r="W59" s="112">
        <f>Table134[[#This Row],[Estimated Monthly Subsidy Per Enrollee, under 400% FPL]]-Table134[[#This Row],[2020 Average Subsidy Per Enrollee Per Month]]</f>
        <v>76.555102040816337</v>
      </c>
      <c r="X59" s="112">
        <f>Table134[[#This Row],[2020 Average Subsidy Per Enrollee Per Month]]*$T$7*$T$8</f>
        <v>319.6175510204082</v>
      </c>
      <c r="Y59" s="112">
        <f>Table134[[#This Row],[Estimated Monthly Subsidy Per Enrollee, under 400% FPL]]*(Table134[[#This Row],[ Off-Exchange  Enrollment, below 400% FPL ]]+Table134[[#This Row],[Uninsured Marketplace Eligible, Below 400% FPL ]])*12</f>
        <v>13409522213.79015</v>
      </c>
      <c r="Z59"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1592331027.6894469</v>
      </c>
      <c r="AA59" s="112">
        <f>Table134[[#This Row],[Total Potential Aggregate Annual Subsidy for Newly Eligible,
under 400% FPL]]+Table134[[#This Row],[Total Potential Aggregate Annual Subsidy for Newly Eligible,
above 400% FPL]]</f>
        <v>15001853241.479597</v>
      </c>
      <c r="AB59" s="23">
        <v>662000</v>
      </c>
      <c r="AC59" s="20">
        <v>-269807</v>
      </c>
    </row>
    <row r="60" spans="1:29" s="250" customFormat="1" ht="17.25" customHeight="1" x14ac:dyDescent="0.25">
      <c r="A60" s="90" t="s">
        <v>38</v>
      </c>
      <c r="B60" s="54" t="s">
        <v>148</v>
      </c>
      <c r="C60" s="8" t="s">
        <v>53</v>
      </c>
      <c r="D60" s="18">
        <f t="shared" si="21"/>
        <v>188279</v>
      </c>
      <c r="E60" s="19">
        <v>174090</v>
      </c>
      <c r="F60" s="19">
        <v>14189</v>
      </c>
      <c r="G60" s="20">
        <f t="shared" si="22"/>
        <v>9151.9050000000007</v>
      </c>
      <c r="H60" s="23">
        <v>14715.66</v>
      </c>
      <c r="I60" s="19">
        <f t="shared" si="18"/>
        <v>5591.9507999999996</v>
      </c>
      <c r="J60" s="19">
        <f t="shared" si="19"/>
        <v>9123.7092000000011</v>
      </c>
      <c r="K60" s="20">
        <f t="shared" si="20"/>
        <v>5291.7513360000003</v>
      </c>
      <c r="L60" s="23">
        <f t="shared" si="23"/>
        <v>139400</v>
      </c>
      <c r="M60" s="19">
        <v>106500</v>
      </c>
      <c r="N60" s="19">
        <v>32900</v>
      </c>
      <c r="O60" s="63">
        <f t="shared" si="24"/>
        <v>19082</v>
      </c>
      <c r="P60" s="23">
        <f t="shared" si="25"/>
        <v>56212.709199999998</v>
      </c>
      <c r="Q60" s="19">
        <f t="shared" si="26"/>
        <v>33525.656336</v>
      </c>
      <c r="R60" s="20">
        <f t="shared" si="27"/>
        <v>145617.60713600001</v>
      </c>
      <c r="S60" s="112">
        <v>368.33</v>
      </c>
      <c r="T60" s="118">
        <v>174090</v>
      </c>
      <c r="U60" s="112">
        <f>Table134[[#This Row],[2020 Average Subsidy Per Enrollee Per Month]]*Table134[[#This Row],[2020 Average Count of APTC Enrollees]]</f>
        <v>64122569.699999996</v>
      </c>
      <c r="V60" s="112">
        <f>Table134[[#This Row],[2020 Average Subsidy Per Enrollee Per Month]]*$T$7</f>
        <v>428.46551020408162</v>
      </c>
      <c r="W60" s="112">
        <f>Table134[[#This Row],[Estimated Monthly Subsidy Per Enrollee, under 400% FPL]]-Table134[[#This Row],[2020 Average Subsidy Per Enrollee Per Month]]</f>
        <v>60.13551020408164</v>
      </c>
      <c r="X60" s="112">
        <f>Table134[[#This Row],[2020 Average Subsidy Per Enrollee Per Month]]*$T$7*$T$8</f>
        <v>251.06575510204084</v>
      </c>
      <c r="Y60" s="112">
        <f>Table134[[#This Row],[Estimated Monthly Subsidy Per Enrollee, under 400% FPL]]*(Table134[[#This Row],[ Off-Exchange  Enrollment, below 400% FPL ]]+Table134[[#This Row],[Uninsured Marketplace Eligible, Below 400% FPL ]])*12</f>
        <v>576330418.6715138</v>
      </c>
      <c r="Z60"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101005730.67947231</v>
      </c>
      <c r="AA60" s="112">
        <f>Table134[[#This Row],[Total Potential Aggregate Annual Subsidy for Newly Eligible,
under 400% FPL]]+Table134[[#This Row],[Total Potential Aggregate Annual Subsidy for Newly Eligible,
above 400% FPL]]</f>
        <v>677336149.35098612</v>
      </c>
      <c r="AB60" s="23">
        <v>112000</v>
      </c>
      <c r="AC60" s="20">
        <v>-27580</v>
      </c>
    </row>
    <row r="61" spans="1:29" s="250" customFormat="1" ht="17.25" customHeight="1" x14ac:dyDescent="0.25">
      <c r="A61" s="90" t="s">
        <v>39</v>
      </c>
      <c r="B61" s="54" t="s">
        <v>149</v>
      </c>
      <c r="C61" s="8" t="s">
        <v>55</v>
      </c>
      <c r="D61" s="18">
        <f t="shared" si="21"/>
        <v>25392</v>
      </c>
      <c r="E61" s="19">
        <v>21212</v>
      </c>
      <c r="F61" s="19">
        <v>4180</v>
      </c>
      <c r="G61" s="20">
        <f t="shared" si="22"/>
        <v>2696.1</v>
      </c>
      <c r="H61" s="23" t="s">
        <v>80</v>
      </c>
      <c r="I61" s="19"/>
      <c r="J61" s="19" t="s">
        <v>80</v>
      </c>
      <c r="K61" s="20"/>
      <c r="L61" s="23">
        <f t="shared" si="23"/>
        <v>17300</v>
      </c>
      <c r="M61" s="19">
        <v>11700</v>
      </c>
      <c r="N61" s="19">
        <v>5600</v>
      </c>
      <c r="O61" s="63">
        <f t="shared" si="24"/>
        <v>3248</v>
      </c>
      <c r="P61" s="23">
        <f t="shared" si="25"/>
        <v>9780</v>
      </c>
      <c r="Q61" s="19">
        <f t="shared" si="26"/>
        <v>5944.1</v>
      </c>
      <c r="R61" s="20">
        <f t="shared" si="27"/>
        <v>17644.099999999999</v>
      </c>
      <c r="S61" s="112">
        <v>463.67</v>
      </c>
      <c r="T61" s="118">
        <v>21212</v>
      </c>
      <c r="U61" s="112">
        <f>Table134[[#This Row],[2020 Average Subsidy Per Enrollee Per Month]]*Table134[[#This Row],[2020 Average Count of APTC Enrollees]]</f>
        <v>9835368.040000001</v>
      </c>
      <c r="V61" s="112">
        <f>Table134[[#This Row],[2020 Average Subsidy Per Enrollee Per Month]]*$T$7</f>
        <v>539.37122448979596</v>
      </c>
      <c r="W61" s="112">
        <f>Table134[[#This Row],[Estimated Monthly Subsidy Per Enrollee, under 400% FPL]]-Table134[[#This Row],[2020 Average Subsidy Per Enrollee Per Month]]</f>
        <v>75.701224489795948</v>
      </c>
      <c r="X61" s="112">
        <f>Table134[[#This Row],[2020 Average Subsidy Per Enrollee Per Month]]*$T$7*$T$8</f>
        <v>316.052612244898</v>
      </c>
      <c r="Y61" s="112">
        <f>Table134[[#This Row],[Estimated Monthly Subsidy Per Enrollee, under 400% FPL]]*(Table134[[#This Row],[ Off-Exchange  Enrollment, below 400% FPL ]]+Table134[[#This Row],[Uninsured Marketplace Eligible, Below 400% FPL ]])*12</f>
        <v>75727719.918367356</v>
      </c>
      <c r="Z61"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22543779.989338778</v>
      </c>
      <c r="AA61" s="112">
        <f>Table134[[#This Row],[Total Potential Aggregate Annual Subsidy for Newly Eligible,
under 400% FPL]]+Table134[[#This Row],[Total Potential Aggregate Annual Subsidy for Newly Eligible,
above 400% FPL]]</f>
        <v>98271499.907706141</v>
      </c>
      <c r="AB61" s="23">
        <v>7000</v>
      </c>
      <c r="AC61" s="20"/>
    </row>
    <row r="62" spans="1:29" s="250" customFormat="1" ht="17.25" customHeight="1" x14ac:dyDescent="0.25">
      <c r="A62" s="90" t="s">
        <v>40</v>
      </c>
      <c r="B62" s="54" t="s">
        <v>150</v>
      </c>
      <c r="C62" s="8" t="s">
        <v>54</v>
      </c>
      <c r="D62" s="18">
        <f t="shared" si="21"/>
        <v>239856</v>
      </c>
      <c r="E62" s="19">
        <v>209844</v>
      </c>
      <c r="F62" s="19">
        <v>30012</v>
      </c>
      <c r="G62" s="20">
        <f t="shared" si="22"/>
        <v>19357.740000000002</v>
      </c>
      <c r="H62" s="23">
        <v>15774.75</v>
      </c>
      <c r="I62" s="19">
        <f>H62*I$8</f>
        <v>5994.4049999999997</v>
      </c>
      <c r="J62" s="19">
        <f>H62-I62</f>
        <v>9780.3450000000012</v>
      </c>
      <c r="K62" s="20">
        <f>J62*K$8</f>
        <v>5672.6001000000006</v>
      </c>
      <c r="L62" s="23">
        <f t="shared" si="23"/>
        <v>291800</v>
      </c>
      <c r="M62" s="19">
        <v>214400</v>
      </c>
      <c r="N62" s="19">
        <v>77400</v>
      </c>
      <c r="O62" s="63">
        <f t="shared" si="24"/>
        <v>44892</v>
      </c>
      <c r="P62" s="23">
        <f t="shared" si="25"/>
        <v>117192.345</v>
      </c>
      <c r="Q62" s="19">
        <f t="shared" si="26"/>
        <v>69922.340100000001</v>
      </c>
      <c r="R62" s="20">
        <f t="shared" si="27"/>
        <v>290316.7451</v>
      </c>
      <c r="S62" s="112">
        <v>554.72</v>
      </c>
      <c r="T62" s="118">
        <v>209844</v>
      </c>
      <c r="U62" s="112">
        <f>Table134[[#This Row],[2020 Average Subsidy Per Enrollee Per Month]]*Table134[[#This Row],[2020 Average Count of APTC Enrollees]]</f>
        <v>116404663.68000001</v>
      </c>
      <c r="V62" s="112">
        <f>Table134[[#This Row],[2020 Average Subsidy Per Enrollee Per Month]]*$T$7</f>
        <v>645.28653061224486</v>
      </c>
      <c r="W62" s="112">
        <f>Table134[[#This Row],[Estimated Monthly Subsidy Per Enrollee, under 400% FPL]]-Table134[[#This Row],[2020 Average Subsidy Per Enrollee Per Month]]</f>
        <v>90.566530612244833</v>
      </c>
      <c r="X62" s="112">
        <f>Table134[[#This Row],[2020 Average Subsidy Per Enrollee Per Month]]*$T$7*$T$8</f>
        <v>378.11526530612247</v>
      </c>
      <c r="Y62" s="112">
        <f>Table134[[#This Row],[Estimated Monthly Subsidy Per Enrollee, under 400% FPL]]*(Table134[[#This Row],[ Off-Exchange  Enrollment, below 400% FPL ]]+Table134[[#This Row],[Uninsured Marketplace Eligible, Below 400% FPL ]])*12</f>
        <v>1706610491.6255999</v>
      </c>
      <c r="Z62"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317264450.13283712</v>
      </c>
      <c r="AA62" s="112">
        <f>Table134[[#This Row],[Total Potential Aggregate Annual Subsidy for Newly Eligible,
under 400% FPL]]+Table134[[#This Row],[Total Potential Aggregate Annual Subsidy for Newly Eligible,
above 400% FPL]]</f>
        <v>2023874941.7584369</v>
      </c>
      <c r="AB62" s="23">
        <v>224000</v>
      </c>
      <c r="AC62" s="20">
        <v>-108619</v>
      </c>
    </row>
    <row r="63" spans="1:29" s="250" customFormat="1" ht="17.25" customHeight="1" x14ac:dyDescent="0.25">
      <c r="A63" s="90" t="s">
        <v>246</v>
      </c>
      <c r="B63" s="54" t="s">
        <v>151</v>
      </c>
      <c r="C63" s="8" t="s">
        <v>55</v>
      </c>
      <c r="D63" s="18">
        <f t="shared" si="21"/>
        <v>201489</v>
      </c>
      <c r="E63" s="19">
        <v>123583</v>
      </c>
      <c r="F63" s="19">
        <v>77906</v>
      </c>
      <c r="G63" s="20">
        <f t="shared" si="22"/>
        <v>50249.37</v>
      </c>
      <c r="H63" s="23">
        <v>25862.080000000002</v>
      </c>
      <c r="I63" s="19">
        <f>H63*I$8</f>
        <v>9827.590400000001</v>
      </c>
      <c r="J63" s="19">
        <f>H63-I63</f>
        <v>16034.489600000001</v>
      </c>
      <c r="K63" s="20">
        <f>J63*K$8</f>
        <v>9300.0039679999991</v>
      </c>
      <c r="L63" s="23">
        <f t="shared" si="23"/>
        <v>260900</v>
      </c>
      <c r="M63" s="19">
        <v>181700</v>
      </c>
      <c r="N63" s="19">
        <v>79200</v>
      </c>
      <c r="O63" s="63">
        <f t="shared" si="24"/>
        <v>45936</v>
      </c>
      <c r="P63" s="23">
        <f t="shared" si="25"/>
        <v>173140.4896</v>
      </c>
      <c r="Q63" s="19">
        <f t="shared" si="26"/>
        <v>105485.373968</v>
      </c>
      <c r="R63" s="20">
        <f t="shared" si="27"/>
        <v>297012.96436799999</v>
      </c>
      <c r="S63" s="112">
        <v>392.9</v>
      </c>
      <c r="T63" s="118">
        <v>123583</v>
      </c>
      <c r="U63" s="112">
        <f>Table134[[#This Row],[2020 Average Subsidy Per Enrollee Per Month]]*Table134[[#This Row],[2020 Average Count of APTC Enrollees]]</f>
        <v>48555760.699999996</v>
      </c>
      <c r="V63" s="112">
        <f>Table134[[#This Row],[2020 Average Subsidy Per Enrollee Per Month]]*$T$7</f>
        <v>457.04693877551017</v>
      </c>
      <c r="W63" s="112">
        <f>Table134[[#This Row],[Estimated Monthly Subsidy Per Enrollee, under 400% FPL]]-Table134[[#This Row],[2020 Average Subsidy Per Enrollee Per Month]]</f>
        <v>64.146938775510193</v>
      </c>
      <c r="X63" s="112">
        <f>Table134[[#This Row],[2020 Average Subsidy Per Enrollee Per Month]]*$T$7*$T$8</f>
        <v>267.81346938775511</v>
      </c>
      <c r="Y63" s="112">
        <f>Table134[[#This Row],[Estimated Monthly Subsidy Per Enrollee, under 400% FPL]]*(Table134[[#This Row],[ Off-Exchange  Enrollment, below 400% FPL ]]+Table134[[#This Row],[Uninsured Marketplace Eligible, Below 400% FPL ]])*12</f>
        <v>1050445186.6004374</v>
      </c>
      <c r="Z63"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339004847.6644184</v>
      </c>
      <c r="AA63" s="112">
        <f>Table134[[#This Row],[Total Potential Aggregate Annual Subsidy for Newly Eligible,
under 400% FPL]]+Table134[[#This Row],[Total Potential Aggregate Annual Subsidy for Newly Eligible,
above 400% FPL]]</f>
        <v>1389450034.2648559</v>
      </c>
      <c r="AB63" s="23">
        <v>133000</v>
      </c>
      <c r="AC63" s="20">
        <v>-96263</v>
      </c>
    </row>
    <row r="64" spans="1:29" s="250" customFormat="1" ht="17.25" customHeight="1" x14ac:dyDescent="0.25">
      <c r="A64" s="90" t="s">
        <v>41</v>
      </c>
      <c r="B64" s="54" t="s">
        <v>152</v>
      </c>
      <c r="C64" s="8" t="s">
        <v>53</v>
      </c>
      <c r="D64" s="18">
        <f t="shared" si="21"/>
        <v>18110</v>
      </c>
      <c r="E64" s="19">
        <v>16258</v>
      </c>
      <c r="F64" s="19">
        <v>1852</v>
      </c>
      <c r="G64" s="20">
        <f t="shared" si="22"/>
        <v>1194.54</v>
      </c>
      <c r="H64" s="23">
        <v>2921.7049999999999</v>
      </c>
      <c r="I64" s="19">
        <f>H64*I$8</f>
        <v>1110.2479000000001</v>
      </c>
      <c r="J64" s="19">
        <f>H64-I64</f>
        <v>1811.4570999999999</v>
      </c>
      <c r="K64" s="20">
        <f>J64*K$8</f>
        <v>1050.6451179999999</v>
      </c>
      <c r="L64" s="23">
        <f t="shared" si="23"/>
        <v>62400</v>
      </c>
      <c r="M64" s="19">
        <v>45500</v>
      </c>
      <c r="N64" s="19">
        <v>16900</v>
      </c>
      <c r="O64" s="63">
        <f t="shared" si="24"/>
        <v>9802</v>
      </c>
      <c r="P64" s="23">
        <f t="shared" si="25"/>
        <v>20563.4571</v>
      </c>
      <c r="Q64" s="19">
        <f t="shared" si="26"/>
        <v>12047.185117999999</v>
      </c>
      <c r="R64" s="20">
        <f t="shared" si="27"/>
        <v>58657.433018000003</v>
      </c>
      <c r="S64" s="112">
        <v>813.55</v>
      </c>
      <c r="T64" s="118">
        <v>16258</v>
      </c>
      <c r="U64" s="112">
        <f>Table134[[#This Row],[2020 Average Subsidy Per Enrollee Per Month]]*Table134[[#This Row],[2020 Average Count of APTC Enrollees]]</f>
        <v>13226695.899999999</v>
      </c>
      <c r="V64" s="112">
        <f>Table134[[#This Row],[2020 Average Subsidy Per Enrollee Per Month]]*$T$7</f>
        <v>946.37448979591829</v>
      </c>
      <c r="W64" s="112">
        <f>Table134[[#This Row],[Estimated Monthly Subsidy Per Enrollee, under 400% FPL]]-Table134[[#This Row],[2020 Average Subsidy Per Enrollee Per Month]]</f>
        <v>132.82448979591834</v>
      </c>
      <c r="X64" s="112">
        <f>Table134[[#This Row],[2020 Average Subsidy Per Enrollee Per Month]]*$T$7*$T$8</f>
        <v>554.54224489795922</v>
      </c>
      <c r="Y64" s="112">
        <f>Table134[[#This Row],[Estimated Monthly Subsidy Per Enrollee, under 400% FPL]]*(Table134[[#This Row],[ Off-Exchange  Enrollment, below 400% FPL ]]+Table134[[#This Row],[Uninsured Marketplace Eligible, Below 400% FPL ]])*12</f>
        <v>529328994.90748525</v>
      </c>
      <c r="Z64"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80168076.960444078</v>
      </c>
      <c r="AA64" s="112">
        <f>Table134[[#This Row],[Total Potential Aggregate Annual Subsidy for Newly Eligible,
under 400% FPL]]+Table134[[#This Row],[Total Potential Aggregate Annual Subsidy for Newly Eligible,
above 400% FPL]]</f>
        <v>609497071.86792934</v>
      </c>
      <c r="AB64" s="23">
        <v>52000</v>
      </c>
      <c r="AC64" s="20">
        <v>-12197</v>
      </c>
    </row>
    <row r="65" spans="1:29" s="250" customFormat="1" ht="17.25" customHeight="1" x14ac:dyDescent="0.25">
      <c r="A65" s="90" t="s">
        <v>42</v>
      </c>
      <c r="B65" s="54" t="s">
        <v>153</v>
      </c>
      <c r="C65" s="8" t="s">
        <v>53</v>
      </c>
      <c r="D65" s="18">
        <f t="shared" si="21"/>
        <v>181010</v>
      </c>
      <c r="E65" s="19">
        <v>157666</v>
      </c>
      <c r="F65" s="19">
        <v>23344</v>
      </c>
      <c r="G65" s="20">
        <f t="shared" si="22"/>
        <v>15056.880000000001</v>
      </c>
      <c r="H65" s="23">
        <v>16361.31</v>
      </c>
      <c r="I65" s="19">
        <f>H65*I$8</f>
        <v>6217.2978000000003</v>
      </c>
      <c r="J65" s="19">
        <f>H65-I65</f>
        <v>10144.012199999999</v>
      </c>
      <c r="K65" s="20">
        <f>J65*K$8</f>
        <v>5883.5270759999994</v>
      </c>
      <c r="L65" s="23">
        <f t="shared" si="23"/>
        <v>199600</v>
      </c>
      <c r="M65" s="19">
        <v>147700</v>
      </c>
      <c r="N65" s="19">
        <v>51900</v>
      </c>
      <c r="O65" s="63">
        <f t="shared" si="24"/>
        <v>30101.999999999996</v>
      </c>
      <c r="P65" s="23">
        <f t="shared" si="25"/>
        <v>85388.012199999997</v>
      </c>
      <c r="Q65" s="19">
        <f t="shared" si="26"/>
        <v>51042.407075999996</v>
      </c>
      <c r="R65" s="20">
        <f t="shared" si="27"/>
        <v>204959.704876</v>
      </c>
      <c r="S65" s="112">
        <v>568.21</v>
      </c>
      <c r="T65" s="118">
        <v>157666</v>
      </c>
      <c r="U65" s="112">
        <f>Table134[[#This Row],[2020 Average Subsidy Per Enrollee Per Month]]*Table134[[#This Row],[2020 Average Count of APTC Enrollees]]</f>
        <v>89587397.859999999</v>
      </c>
      <c r="V65" s="112">
        <f>Table134[[#This Row],[2020 Average Subsidy Per Enrollee Per Month]]*$T$7</f>
        <v>660.97897959183672</v>
      </c>
      <c r="W65" s="112">
        <f>Table134[[#This Row],[Estimated Monthly Subsidy Per Enrollee, under 400% FPL]]-Table134[[#This Row],[2020 Average Subsidy Per Enrollee Per Month]]</f>
        <v>92.768979591836683</v>
      </c>
      <c r="X65" s="112">
        <f>Table134[[#This Row],[2020 Average Subsidy Per Enrollee Per Month]]*$T$7*$T$8</f>
        <v>387.31048979591839</v>
      </c>
      <c r="Y65" s="112">
        <f>Table134[[#This Row],[Estimated Monthly Subsidy Per Enrollee, under 400% FPL]]*(Table134[[#This Row],[ Off-Exchange  Enrollment, below 400% FPL ]]+Table134[[#This Row],[Uninsured Marketplace Eligible, Below 400% FPL ]])*12</f>
        <v>1220833181.2965221</v>
      </c>
      <c r="Z65" s="112">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237231116.21961853</v>
      </c>
      <c r="AA65" s="112">
        <f>Table134[[#This Row],[Total Potential Aggregate Annual Subsidy for Newly Eligible,
under 400% FPL]]+Table134[[#This Row],[Total Potential Aggregate Annual Subsidy for Newly Eligible,
above 400% FPL]]</f>
        <v>1458064297.5161407</v>
      </c>
      <c r="AB65" s="23">
        <v>91000</v>
      </c>
      <c r="AC65" s="20">
        <v>-32063</v>
      </c>
    </row>
    <row r="66" spans="1:29" s="250" customFormat="1" ht="17.25" customHeight="1" x14ac:dyDescent="0.25">
      <c r="A66" s="92" t="s">
        <v>43</v>
      </c>
      <c r="B66" s="93" t="s">
        <v>154</v>
      </c>
      <c r="C66" s="94" t="s">
        <v>53</v>
      </c>
      <c r="D66" s="95">
        <f t="shared" si="21"/>
        <v>23059</v>
      </c>
      <c r="E66" s="74">
        <v>21789</v>
      </c>
      <c r="F66" s="74">
        <v>1270</v>
      </c>
      <c r="G66" s="75">
        <f t="shared" si="22"/>
        <v>819.15</v>
      </c>
      <c r="H66" s="73">
        <v>2829.3960000000002</v>
      </c>
      <c r="I66" s="74">
        <f>H66*I$8</f>
        <v>1075.17048</v>
      </c>
      <c r="J66" s="74">
        <f>H66-I66</f>
        <v>1754.2255200000002</v>
      </c>
      <c r="K66" s="75">
        <f>J66*K$8</f>
        <v>1017.4508016000001</v>
      </c>
      <c r="L66" s="73">
        <f>SUM(M66:N66)</f>
        <v>46100</v>
      </c>
      <c r="M66" s="74">
        <v>33200</v>
      </c>
      <c r="N66" s="74">
        <v>12900</v>
      </c>
      <c r="O66" s="96">
        <f t="shared" si="24"/>
        <v>7481.9999999999991</v>
      </c>
      <c r="P66" s="73">
        <f t="shared" si="25"/>
        <v>15924.22552</v>
      </c>
      <c r="Q66" s="74">
        <f t="shared" si="26"/>
        <v>9318.6008015999996</v>
      </c>
      <c r="R66" s="75">
        <f t="shared" si="27"/>
        <v>43593.771281599998</v>
      </c>
      <c r="S66" s="113">
        <v>913.99</v>
      </c>
      <c r="T66" s="119">
        <v>21789</v>
      </c>
      <c r="U66" s="113">
        <f>Table134[[#This Row],[2020 Average Subsidy Per Enrollee Per Month]]*Table134[[#This Row],[2020 Average Count of APTC Enrollees]]</f>
        <v>19914928.109999999</v>
      </c>
      <c r="V66" s="113">
        <f>Table134[[#This Row],[2020 Average Subsidy Per Enrollee Per Month]]*$T$7</f>
        <v>1063.212857142857</v>
      </c>
      <c r="W66" s="113">
        <f>Table134[[#This Row],[Estimated Monthly Subsidy Per Enrollee, under 400% FPL]]-Table134[[#This Row],[2020 Average Subsidy Per Enrollee Per Month]]</f>
        <v>149.22285714285704</v>
      </c>
      <c r="X66" s="113">
        <f>Table134[[#This Row],[2020 Average Subsidy Per Enrollee Per Month]]*$T$7*$T$8</f>
        <v>623.00542857142852</v>
      </c>
      <c r="Y66" s="113">
        <f>Table134[[#This Row],[Estimated Monthly Subsidy Per Enrollee, under 400% FPL]]*(Table134[[#This Row],[ Off-Exchange  Enrollment, below 400% FPL ]]+Table134[[#This Row],[Uninsured Marketplace Eligible, Below 400% FPL ]])*12</f>
        <v>437301623.22119176</v>
      </c>
      <c r="Z66" s="113">
        <f>Table134[[#This Row],[Estimated Monthly Subsidy Per Enrollee, above 400% FPL]]*(Table134[[#This Row],[Uninsured Marketplace Eligible, Above 400% FPL - Estimated Eligible for Stimulus APTC ]]+Table134[[#This Row],[ Off-Exchange Enrollment, above 400% FPL estimated to receive APTC subsidies]]+Table134[[#This Row],[ Marketplace Effectuated Enrollment, above 400% FPL estimated to receive APTC subsidies]])*12</f>
        <v>69666466.63304238</v>
      </c>
      <c r="AA66" s="113">
        <f>Table134[[#This Row],[Total Potential Aggregate Annual Subsidy for Newly Eligible,
under 400% FPL]]+Table134[[#This Row],[Total Potential Aggregate Annual Subsidy for Newly Eligible,
above 400% FPL]]</f>
        <v>506968089.85423416</v>
      </c>
      <c r="AB66" s="73">
        <v>8000</v>
      </c>
      <c r="AC66" s="75">
        <v>-2963</v>
      </c>
    </row>
    <row r="71" spans="1:29" ht="27.6" customHeight="1" x14ac:dyDescent="0.2"/>
    <row r="72" spans="1:29" ht="27.6" customHeight="1" x14ac:dyDescent="0.2"/>
    <row r="74" spans="1:29" ht="27" customHeight="1" x14ac:dyDescent="0.2"/>
    <row r="87" spans="1:4" s="13" customFormat="1" x14ac:dyDescent="0.2">
      <c r="A87" s="1"/>
      <c r="B87" s="59"/>
      <c r="C87" s="4"/>
      <c r="D87" s="16"/>
    </row>
    <row r="88" spans="1:4" s="13" customFormat="1" x14ac:dyDescent="0.2">
      <c r="A88" s="2"/>
      <c r="B88" s="61"/>
      <c r="C88" s="4"/>
      <c r="D88" s="16"/>
    </row>
    <row r="89" spans="1:4" s="13" customFormat="1" x14ac:dyDescent="0.2">
      <c r="A89" s="5"/>
      <c r="B89" s="62"/>
      <c r="C89" s="9"/>
      <c r="D89" s="17"/>
    </row>
  </sheetData>
  <phoneticPr fontId="33" type="noConversion"/>
  <pageMargins left="0.25" right="0.25" top="0.75" bottom="0.75" header="0.3" footer="0.3"/>
  <pageSetup scale="39" fitToHeight="0" orientation="landscape" r:id="rId1"/>
  <headerFooter>
    <oddFooter>&amp;LDRAFT - 03/02/2021&amp;R&amp;P</oddFooter>
  </headerFooter>
  <rowBreaks count="1" manualBreakCount="1">
    <brk id="67" max="16383" man="1"/>
  </rowBreaks>
  <ignoredErrors>
    <ignoredError sqref="G12:G24 I12:I23 K12:K23 O12:O23 U12:U15 Y12:Z12 D13:D15 J13:J15 L13:L15 P13:Q13 Y13:Z13 P14:Q14 Y14:Z14 P15:Q15 Y15:Z15 J24 G25:G66 I25:R66" calculatedColumn="1"/>
    <ignoredError sqref="H12 S14:S15" formula="1"/>
    <ignoredError sqref="D10:AC10"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06F35-028D-4DE5-9DE7-CC591C747C35}">
  <sheetPr>
    <pageSetUpPr fitToPage="1"/>
  </sheetPr>
  <dimension ref="A1:V94"/>
  <sheetViews>
    <sheetView view="pageBreakPreview" zoomScaleNormal="115" zoomScaleSheetLayoutView="100" workbookViewId="0"/>
  </sheetViews>
  <sheetFormatPr defaultColWidth="8.85546875" defaultRowHeight="12.75" x14ac:dyDescent="0.2"/>
  <cols>
    <col min="1" max="1" width="35.140625" style="1" customWidth="1"/>
    <col min="2" max="2" width="12.28515625" style="3" customWidth="1"/>
    <col min="3" max="8" width="24" style="13" customWidth="1"/>
    <col min="9" max="17" width="15" style="13" customWidth="1"/>
    <col min="18" max="20" width="20.5703125" style="13" customWidth="1"/>
    <col min="21" max="21" width="9.140625" style="1" bestFit="1" customWidth="1"/>
    <col min="22" max="16384" width="8.85546875" style="1"/>
  </cols>
  <sheetData>
    <row r="1" spans="1:20" ht="20.25" x14ac:dyDescent="0.3">
      <c r="A1" s="7" t="s">
        <v>254</v>
      </c>
    </row>
    <row r="2" spans="1:20" ht="15" x14ac:dyDescent="0.2">
      <c r="A2" s="251" t="s">
        <v>268</v>
      </c>
    </row>
    <row r="3" spans="1:20" ht="20.25" x14ac:dyDescent="0.3">
      <c r="A3" s="7"/>
    </row>
    <row r="4" spans="1:20" x14ac:dyDescent="0.2">
      <c r="A4" s="26" t="s">
        <v>174</v>
      </c>
    </row>
    <row r="5" spans="1:20" x14ac:dyDescent="0.2">
      <c r="A5" s="26" t="s">
        <v>253</v>
      </c>
    </row>
    <row r="6" spans="1:20" x14ac:dyDescent="0.2">
      <c r="A6" s="1" t="s">
        <v>160</v>
      </c>
    </row>
    <row r="8" spans="1:20" s="11" customFormat="1" ht="32.25" customHeight="1" x14ac:dyDescent="0.2">
      <c r="A8" s="1"/>
      <c r="B8" s="3"/>
      <c r="C8" s="15" t="s">
        <v>182</v>
      </c>
      <c r="D8" s="15" t="s">
        <v>183</v>
      </c>
      <c r="E8" s="15" t="s">
        <v>184</v>
      </c>
      <c r="F8" s="15" t="s">
        <v>187</v>
      </c>
      <c r="G8" s="15" t="s">
        <v>188</v>
      </c>
      <c r="H8" s="15" t="s">
        <v>189</v>
      </c>
    </row>
    <row r="9" spans="1:20" ht="82.15" customHeight="1" thickBot="1" x14ac:dyDescent="0.25">
      <c r="A9" s="35" t="s">
        <v>44</v>
      </c>
      <c r="B9" s="36" t="s">
        <v>56</v>
      </c>
      <c r="C9" s="37" t="s">
        <v>81</v>
      </c>
      <c r="D9" s="38" t="s">
        <v>156</v>
      </c>
      <c r="E9" s="38" t="s">
        <v>157</v>
      </c>
      <c r="F9" s="38" t="s">
        <v>158</v>
      </c>
      <c r="G9" s="38" t="s">
        <v>159</v>
      </c>
      <c r="H9" s="38" t="s">
        <v>87</v>
      </c>
      <c r="I9" s="1"/>
      <c r="J9" s="1"/>
      <c r="K9" s="1"/>
      <c r="L9" s="1"/>
      <c r="M9" s="1"/>
      <c r="N9" s="1"/>
      <c r="O9" s="1"/>
      <c r="P9" s="1"/>
      <c r="Q9" s="1"/>
      <c r="R9" s="1"/>
      <c r="S9" s="1"/>
      <c r="T9" s="1"/>
    </row>
    <row r="10" spans="1:20" ht="21" customHeight="1" x14ac:dyDescent="0.2">
      <c r="A10" s="42" t="s">
        <v>45</v>
      </c>
      <c r="B10" s="34"/>
      <c r="C10" s="44">
        <f>SUM(C13:C63)</f>
        <v>70998962407.498718</v>
      </c>
      <c r="D10" s="44">
        <f t="shared" ref="D10:G10" si="0">SUM(D13:D63)</f>
        <v>582191491.74148905</v>
      </c>
      <c r="E10" s="44">
        <f t="shared" si="0"/>
        <v>145547872.93537226</v>
      </c>
      <c r="F10" s="44">
        <f t="shared" si="0"/>
        <v>194063830.58049643</v>
      </c>
      <c r="G10" s="44">
        <f t="shared" si="0"/>
        <v>291095745.87074453</v>
      </c>
      <c r="H10" s="44">
        <f>SUM(H13:H63)</f>
        <v>99999999.999999985</v>
      </c>
      <c r="I10" s="1"/>
      <c r="J10" s="1"/>
      <c r="K10" s="1"/>
      <c r="L10" s="1"/>
      <c r="M10" s="1"/>
      <c r="N10" s="1"/>
      <c r="O10" s="1"/>
      <c r="P10" s="1"/>
      <c r="Q10" s="1"/>
      <c r="R10" s="1"/>
      <c r="S10" s="1"/>
      <c r="T10" s="1"/>
    </row>
    <row r="11" spans="1:20" ht="21" customHeight="1" x14ac:dyDescent="0.2">
      <c r="A11" s="45" t="s">
        <v>91</v>
      </c>
      <c r="B11" s="40" t="s">
        <v>92</v>
      </c>
      <c r="C11" s="41">
        <f>SUM(SUMIFS(C$13:C$63,'State by State Data'!$C$16:$C$66,{"FFE","SBE-FP"}))</f>
        <v>47244133511.431709</v>
      </c>
      <c r="D11" s="41">
        <f>SUM(SUMIFS(D$13:D$63,'State by State Data'!$C$16:$C$66,{"FFE","SBE-FP"}))</f>
        <v>387401894.79374009</v>
      </c>
      <c r="E11" s="41">
        <f>SUM(SUMIFS(E$13:E$63,'State by State Data'!$C$16:$C$66,{"FFE","SBE-FP"}))</f>
        <v>96850473.698435023</v>
      </c>
      <c r="F11" s="41">
        <f>SUM(SUMIFS(F$13:F$63,'State by State Data'!$C$16:$C$66,{"FFE","SBE-FP"}))</f>
        <v>129133964.9312467</v>
      </c>
      <c r="G11" s="41">
        <f>SUM(SUMIFS(G$13:G$63,'State by State Data'!$C$16:$C$66,{"FFE","SBE-FP"}))</f>
        <v>193700947.39687005</v>
      </c>
      <c r="H11" s="41">
        <f>SUM(SUMIFS(H$13:H$63,'State by State Data'!$C$16:$C$66,{"FFE","SBE-FP"}))</f>
        <v>70420777.733409017</v>
      </c>
      <c r="I11" s="1"/>
      <c r="J11" s="1"/>
      <c r="K11" s="1"/>
      <c r="L11" s="1"/>
      <c r="M11" s="1"/>
      <c r="N11" s="1"/>
      <c r="O11" s="1"/>
      <c r="P11" s="1"/>
      <c r="Q11" s="1"/>
      <c r="R11" s="1"/>
      <c r="S11" s="1"/>
      <c r="T11" s="1"/>
    </row>
    <row r="12" spans="1:20" ht="21" customHeight="1" thickBot="1" x14ac:dyDescent="0.25">
      <c r="A12" s="28" t="s">
        <v>90</v>
      </c>
      <c r="B12" s="46" t="s">
        <v>55</v>
      </c>
      <c r="C12" s="48">
        <f>SUMIF('State by State Data'!$C$16:$C$66,"SBE",C$13:C$63)</f>
        <v>23754828896.066986</v>
      </c>
      <c r="D12" s="48">
        <f>SUMIF('State by State Data'!$C$16:$C$66,"SBE",D$13:D$63)</f>
        <v>194789596.94774929</v>
      </c>
      <c r="E12" s="48">
        <f>SUMIF('State by State Data'!$C$16:$C$66,"SBE",E$13:E$63)</f>
        <v>48697399.236937322</v>
      </c>
      <c r="F12" s="48">
        <f>SUMIF('State by State Data'!$C$16:$C$66,"SBE",F$13:F$63)</f>
        <v>64929865.649249762</v>
      </c>
      <c r="G12" s="48">
        <f>SUMIF('State by State Data'!$C$16:$C$66,"SBE",G$13:G$63)</f>
        <v>97394798.473874643</v>
      </c>
      <c r="H12" s="48">
        <f>SUMIF('State by State Data'!$C$16:$C$66,"SBE",H$13:H$63)</f>
        <v>29579222.266590968</v>
      </c>
      <c r="I12" s="1"/>
      <c r="J12" s="1"/>
      <c r="K12" s="1"/>
      <c r="L12" s="1"/>
      <c r="M12" s="1"/>
      <c r="N12" s="1"/>
      <c r="O12" s="1"/>
      <c r="P12" s="1"/>
      <c r="Q12" s="1"/>
      <c r="R12" s="1"/>
      <c r="S12" s="1"/>
      <c r="T12" s="1"/>
    </row>
    <row r="13" spans="1:20" x14ac:dyDescent="0.2">
      <c r="A13" s="6" t="s">
        <v>0</v>
      </c>
      <c r="B13" s="8" t="s">
        <v>53</v>
      </c>
      <c r="C13" s="24">
        <v>1151954900.0441039</v>
      </c>
      <c r="D13" s="25">
        <f>C13*0.0082</f>
        <v>9446030.1803616527</v>
      </c>
      <c r="E13" s="25">
        <f>D13*0.25</f>
        <v>2361507.5450904132</v>
      </c>
      <c r="F13" s="25">
        <f>D13*(1/3)</f>
        <v>3148676.7267872174</v>
      </c>
      <c r="G13" s="25">
        <f>D13*0.5</f>
        <v>4723015.0901808264</v>
      </c>
      <c r="H13" s="25">
        <f>100000000*('State by State Data'!R16/SUM('State by State Data'!R$16:R$66))</f>
        <v>1518678.7804765068</v>
      </c>
      <c r="I13" s="1"/>
      <c r="J13" s="1"/>
      <c r="K13" s="1"/>
      <c r="L13" s="1"/>
      <c r="M13" s="1"/>
      <c r="N13" s="1"/>
      <c r="O13" s="1"/>
      <c r="P13" s="1"/>
      <c r="Q13" s="1"/>
      <c r="R13" s="1"/>
      <c r="S13" s="1"/>
      <c r="T13" s="1"/>
    </row>
    <row r="14" spans="1:20" x14ac:dyDescent="0.2">
      <c r="A14" s="6" t="s">
        <v>1</v>
      </c>
      <c r="B14" s="8" t="s">
        <v>53</v>
      </c>
      <c r="C14" s="24">
        <v>125362781.1648192</v>
      </c>
      <c r="D14" s="25">
        <f t="shared" ref="D14:D33" si="1">C14*0.0082</f>
        <v>1027974.8055515175</v>
      </c>
      <c r="E14" s="25">
        <f>D14*0.25</f>
        <v>256993.70138787938</v>
      </c>
      <c r="F14" s="25">
        <f>D14*(1/3)</f>
        <v>342658.26851717249</v>
      </c>
      <c r="G14" s="25">
        <f>D14*0.5</f>
        <v>513987.40277575876</v>
      </c>
      <c r="H14" s="25">
        <f>100000000*('State by State Data'!R17/SUM('State by State Data'!R$16:R$66))</f>
        <v>291643.06972559058</v>
      </c>
      <c r="I14" s="1"/>
      <c r="J14" s="1"/>
      <c r="K14" s="1"/>
      <c r="L14" s="1"/>
      <c r="M14" s="1"/>
      <c r="N14" s="1"/>
      <c r="O14" s="1"/>
      <c r="P14" s="1"/>
      <c r="Q14" s="1"/>
      <c r="R14" s="1"/>
      <c r="S14" s="1"/>
      <c r="T14" s="1"/>
    </row>
    <row r="15" spans="1:20" x14ac:dyDescent="0.2">
      <c r="A15" s="6" t="s">
        <v>2</v>
      </c>
      <c r="B15" s="8" t="s">
        <v>53</v>
      </c>
      <c r="C15" s="24">
        <v>852621524.74931335</v>
      </c>
      <c r="D15" s="25">
        <f t="shared" si="1"/>
        <v>6991496.5029443698</v>
      </c>
      <c r="E15" s="25">
        <f>D15*0.25</f>
        <v>1747874.1257360925</v>
      </c>
      <c r="F15" s="25">
        <f>D15*(1/3)</f>
        <v>2330498.8343147896</v>
      </c>
      <c r="G15" s="25">
        <f>D15*0.5</f>
        <v>3495748.2514721849</v>
      </c>
      <c r="H15" s="25">
        <f>100000000*('State by State Data'!R18/SUM('State by State Data'!R$16:R$66))</f>
        <v>2215516.1055599861</v>
      </c>
      <c r="I15" s="1"/>
      <c r="J15" s="1"/>
      <c r="K15" s="1"/>
      <c r="L15" s="1"/>
      <c r="M15" s="1"/>
      <c r="N15" s="1"/>
      <c r="O15" s="1"/>
      <c r="P15" s="1"/>
      <c r="Q15" s="1"/>
      <c r="R15" s="1"/>
      <c r="S15" s="1"/>
      <c r="T15" s="1"/>
    </row>
    <row r="16" spans="1:20" x14ac:dyDescent="0.2">
      <c r="A16" s="6" t="s">
        <v>3</v>
      </c>
      <c r="B16" s="8" t="s">
        <v>54</v>
      </c>
      <c r="C16" s="24">
        <v>1325853389.8640785</v>
      </c>
      <c r="D16" s="25">
        <f t="shared" si="1"/>
        <v>10871997.796885446</v>
      </c>
      <c r="E16" s="25">
        <f>D16*0.25</f>
        <v>2717999.4492213614</v>
      </c>
      <c r="F16" s="25">
        <f>D16*(1/3)</f>
        <v>3623999.2656284817</v>
      </c>
      <c r="G16" s="25">
        <f>D16*0.5</f>
        <v>5435998.8984427229</v>
      </c>
      <c r="H16" s="25">
        <f>100000000*('State by State Data'!R19/SUM('State by State Data'!R$16:R$66))</f>
        <v>1807432.2218187856</v>
      </c>
      <c r="I16" s="1"/>
      <c r="J16" s="1"/>
      <c r="K16" s="1"/>
      <c r="L16" s="1"/>
      <c r="M16" s="1"/>
      <c r="N16" s="1"/>
      <c r="O16" s="1"/>
      <c r="P16" s="1"/>
      <c r="Q16" s="1"/>
      <c r="R16" s="1"/>
      <c r="S16" s="1"/>
      <c r="T16" s="1"/>
    </row>
    <row r="17" spans="1:20" x14ac:dyDescent="0.2">
      <c r="A17" s="6" t="s">
        <v>46</v>
      </c>
      <c r="B17" s="8" t="s">
        <v>55</v>
      </c>
      <c r="C17" s="24">
        <v>11394352468.622</v>
      </c>
      <c r="D17" s="25">
        <f t="shared" si="1"/>
        <v>93433690.242700413</v>
      </c>
      <c r="E17" s="25">
        <f t="shared" ref="E17:E63" si="2">D17*0.25</f>
        <v>23358422.560675103</v>
      </c>
      <c r="F17" s="25">
        <f t="shared" ref="F17:F63" si="3">D17*(1/3)</f>
        <v>31144563.414233468</v>
      </c>
      <c r="G17" s="25">
        <f t="shared" ref="G17:G63" si="4">D17*0.5</f>
        <v>46716845.121350206</v>
      </c>
      <c r="H17" s="25">
        <f>100000000*('State by State Data'!R20/SUM('State by State Data'!R$16:R$66))</f>
        <v>11359374.201823814</v>
      </c>
      <c r="I17" s="1"/>
      <c r="J17" s="1"/>
      <c r="K17" s="1"/>
      <c r="L17" s="1"/>
      <c r="M17" s="1"/>
      <c r="N17" s="1"/>
      <c r="O17" s="1"/>
      <c r="P17" s="1"/>
      <c r="Q17" s="1"/>
      <c r="R17" s="1"/>
      <c r="S17" s="1"/>
      <c r="T17" s="1"/>
    </row>
    <row r="18" spans="1:20" x14ac:dyDescent="0.2">
      <c r="A18" s="6" t="s">
        <v>4</v>
      </c>
      <c r="B18" s="8" t="s">
        <v>55</v>
      </c>
      <c r="C18" s="24">
        <v>1202570778.1544733</v>
      </c>
      <c r="D18" s="25">
        <f t="shared" si="1"/>
        <v>9861080.3808666822</v>
      </c>
      <c r="E18" s="25">
        <f t="shared" si="2"/>
        <v>2465270.0952166705</v>
      </c>
      <c r="F18" s="25">
        <f t="shared" si="3"/>
        <v>3287026.7936222274</v>
      </c>
      <c r="G18" s="25">
        <f t="shared" si="4"/>
        <v>4930540.1904333411</v>
      </c>
      <c r="H18" s="25">
        <f>100000000*('State by State Data'!R21/SUM('State by State Data'!R$16:R$66))</f>
        <v>1805635.1025710977</v>
      </c>
      <c r="I18" s="1"/>
      <c r="J18" s="1"/>
      <c r="K18" s="1"/>
      <c r="L18" s="1"/>
      <c r="M18" s="1"/>
      <c r="N18" s="1"/>
      <c r="O18" s="1"/>
      <c r="P18" s="1"/>
      <c r="Q18" s="1"/>
      <c r="R18" s="1"/>
      <c r="S18" s="1"/>
      <c r="T18" s="1"/>
    </row>
    <row r="19" spans="1:20" x14ac:dyDescent="0.2">
      <c r="A19" s="6" t="s">
        <v>5</v>
      </c>
      <c r="B19" s="8" t="s">
        <v>55</v>
      </c>
      <c r="C19" s="24">
        <v>754179727.43251812</v>
      </c>
      <c r="D19" s="25">
        <f t="shared" si="1"/>
        <v>6184273.7649466489</v>
      </c>
      <c r="E19" s="25">
        <f t="shared" si="2"/>
        <v>1546068.4412366622</v>
      </c>
      <c r="F19" s="25">
        <f t="shared" si="3"/>
        <v>2061424.5883155495</v>
      </c>
      <c r="G19" s="25">
        <f t="shared" si="4"/>
        <v>3092136.8824733244</v>
      </c>
      <c r="H19" s="25">
        <f>100000000*('State by State Data'!R22/SUM('State by State Data'!R$16:R$66))</f>
        <v>718570.18544466712</v>
      </c>
      <c r="I19" s="1"/>
      <c r="J19" s="1"/>
      <c r="K19" s="1"/>
      <c r="L19" s="1"/>
      <c r="M19" s="1"/>
      <c r="N19" s="1"/>
      <c r="O19" s="1"/>
      <c r="P19" s="1"/>
      <c r="Q19" s="1"/>
      <c r="R19" s="1"/>
      <c r="S19" s="1"/>
      <c r="T19" s="1"/>
    </row>
    <row r="20" spans="1:20" x14ac:dyDescent="0.2">
      <c r="A20" s="6" t="s">
        <v>6</v>
      </c>
      <c r="B20" s="8" t="s">
        <v>53</v>
      </c>
      <c r="C20" s="24">
        <v>194406798.79047573</v>
      </c>
      <c r="D20" s="25">
        <f t="shared" si="1"/>
        <v>1594135.750081901</v>
      </c>
      <c r="E20" s="25">
        <f t="shared" si="2"/>
        <v>398533.93752047524</v>
      </c>
      <c r="F20" s="25">
        <f t="shared" si="3"/>
        <v>531378.58336063358</v>
      </c>
      <c r="G20" s="25">
        <f t="shared" si="4"/>
        <v>797067.87504095049</v>
      </c>
      <c r="H20" s="25">
        <f>100000000*('State by State Data'!R23/SUM('State by State Data'!R$16:R$66))</f>
        <v>214284.89545203556</v>
      </c>
      <c r="I20" s="1"/>
      <c r="J20" s="1"/>
      <c r="K20" s="1"/>
      <c r="L20" s="1"/>
      <c r="M20" s="1"/>
      <c r="N20" s="1"/>
      <c r="O20" s="1"/>
      <c r="P20" s="1"/>
      <c r="Q20" s="1"/>
      <c r="R20" s="1"/>
      <c r="S20" s="1"/>
      <c r="T20" s="1"/>
    </row>
    <row r="21" spans="1:20" x14ac:dyDescent="0.2">
      <c r="A21" s="6" t="s">
        <v>47</v>
      </c>
      <c r="B21" s="8" t="s">
        <v>55</v>
      </c>
      <c r="C21" s="24">
        <v>76758750.365321562</v>
      </c>
      <c r="D21" s="25">
        <f t="shared" si="1"/>
        <v>629421.7529956369</v>
      </c>
      <c r="E21" s="25">
        <f t="shared" si="2"/>
        <v>157355.43824890922</v>
      </c>
      <c r="F21" s="25">
        <f t="shared" si="3"/>
        <v>209807.25099854561</v>
      </c>
      <c r="G21" s="25">
        <f t="shared" si="4"/>
        <v>314710.87649781845</v>
      </c>
      <c r="H21" s="25">
        <f>100000000*('State by State Data'!R24/SUM('State by State Data'!R$16:R$66))</f>
        <v>120207.77184418314</v>
      </c>
      <c r="I21" s="1"/>
      <c r="J21" s="1"/>
      <c r="K21" s="1"/>
      <c r="L21" s="1"/>
      <c r="M21" s="1"/>
      <c r="N21" s="1"/>
      <c r="O21" s="1"/>
      <c r="P21" s="1"/>
      <c r="Q21" s="1"/>
      <c r="R21" s="1"/>
      <c r="S21" s="1"/>
      <c r="T21" s="1"/>
    </row>
    <row r="22" spans="1:20" x14ac:dyDescent="0.2">
      <c r="A22" s="6" t="s">
        <v>7</v>
      </c>
      <c r="B22" s="8" t="s">
        <v>53</v>
      </c>
      <c r="C22" s="24">
        <v>10648524399.047745</v>
      </c>
      <c r="D22" s="25">
        <f t="shared" si="1"/>
        <v>87317900.072191522</v>
      </c>
      <c r="E22" s="25">
        <f t="shared" si="2"/>
        <v>21829475.01804788</v>
      </c>
      <c r="F22" s="25">
        <f t="shared" si="3"/>
        <v>29105966.690730505</v>
      </c>
      <c r="G22" s="25">
        <f t="shared" si="4"/>
        <v>43658950.036095761</v>
      </c>
      <c r="H22" s="25">
        <f>100000000*('State by State Data'!R25/SUM('State by State Data'!R$16:R$66))</f>
        <v>9768074.5746935122</v>
      </c>
      <c r="I22" s="1"/>
      <c r="J22" s="1"/>
      <c r="K22" s="1"/>
      <c r="L22" s="1"/>
      <c r="M22" s="1"/>
      <c r="N22" s="1"/>
      <c r="O22" s="1"/>
      <c r="P22" s="1"/>
      <c r="Q22" s="1"/>
      <c r="R22" s="1"/>
      <c r="S22" s="1"/>
      <c r="T22" s="1"/>
    </row>
    <row r="23" spans="1:20" x14ac:dyDescent="0.2">
      <c r="A23" s="6" t="s">
        <v>8</v>
      </c>
      <c r="B23" s="8" t="s">
        <v>53</v>
      </c>
      <c r="C23" s="24">
        <v>2441072390.8891296</v>
      </c>
      <c r="D23" s="25">
        <f t="shared" si="1"/>
        <v>20016793.605290864</v>
      </c>
      <c r="E23" s="25">
        <f t="shared" si="2"/>
        <v>5004198.4013227159</v>
      </c>
      <c r="F23" s="25">
        <f t="shared" si="3"/>
        <v>6672264.5350969546</v>
      </c>
      <c r="G23" s="25">
        <f t="shared" si="4"/>
        <v>10008396.802645432</v>
      </c>
      <c r="H23" s="25">
        <f>100000000*('State by State Data'!R26/SUM('State by State Data'!R$16:R$66))</f>
        <v>4221954.217630201</v>
      </c>
      <c r="I23" s="1"/>
      <c r="J23" s="1"/>
      <c r="K23" s="1"/>
      <c r="L23" s="1"/>
      <c r="M23" s="1"/>
      <c r="N23" s="1"/>
      <c r="O23" s="1"/>
      <c r="P23" s="1"/>
      <c r="Q23" s="1"/>
      <c r="R23" s="1"/>
      <c r="S23" s="1"/>
      <c r="T23" s="1"/>
    </row>
    <row r="24" spans="1:20" x14ac:dyDescent="0.2">
      <c r="A24" s="6" t="s">
        <v>9</v>
      </c>
      <c r="B24" s="8" t="s">
        <v>53</v>
      </c>
      <c r="C24" s="24">
        <v>196484849.48130426</v>
      </c>
      <c r="D24" s="25">
        <f t="shared" si="1"/>
        <v>1611175.765746695</v>
      </c>
      <c r="E24" s="25">
        <f t="shared" si="2"/>
        <v>402793.94143667375</v>
      </c>
      <c r="F24" s="25">
        <f t="shared" si="3"/>
        <v>537058.58858223166</v>
      </c>
      <c r="G24" s="25">
        <f t="shared" si="4"/>
        <v>805587.88287334749</v>
      </c>
      <c r="H24" s="25">
        <f>100000000*('State by State Data'!R27/SUM('State by State Data'!R$16:R$66))</f>
        <v>202416.27946647498</v>
      </c>
      <c r="I24" s="1"/>
      <c r="J24" s="1"/>
      <c r="K24" s="1"/>
      <c r="L24" s="1"/>
      <c r="M24" s="1"/>
      <c r="N24" s="1"/>
      <c r="O24" s="1"/>
      <c r="P24" s="1"/>
      <c r="Q24" s="1"/>
      <c r="R24" s="1"/>
      <c r="S24" s="1"/>
      <c r="T24" s="1"/>
    </row>
    <row r="25" spans="1:20" x14ac:dyDescent="0.2">
      <c r="A25" s="6" t="s">
        <v>10</v>
      </c>
      <c r="B25" s="8" t="s">
        <v>55</v>
      </c>
      <c r="C25" s="24">
        <v>535260903.5418238</v>
      </c>
      <c r="D25" s="25">
        <f t="shared" si="1"/>
        <v>4389139.4090429554</v>
      </c>
      <c r="E25" s="25">
        <f t="shared" si="2"/>
        <v>1097284.8522607388</v>
      </c>
      <c r="F25" s="25">
        <f t="shared" si="3"/>
        <v>1463046.469680985</v>
      </c>
      <c r="G25" s="25">
        <f t="shared" si="4"/>
        <v>2194569.7045214777</v>
      </c>
      <c r="H25" s="25">
        <f>100000000*('State by State Data'!R28/SUM('State by State Data'!R$16:R$66))</f>
        <v>632046.6863151805</v>
      </c>
      <c r="I25" s="1"/>
      <c r="J25" s="1"/>
      <c r="K25" s="1"/>
      <c r="L25" s="1"/>
      <c r="M25" s="1"/>
      <c r="N25" s="1"/>
      <c r="O25" s="1"/>
      <c r="P25" s="1"/>
      <c r="Q25" s="1"/>
      <c r="R25" s="1"/>
      <c r="S25" s="1"/>
      <c r="T25" s="1"/>
    </row>
    <row r="26" spans="1:20" x14ac:dyDescent="0.2">
      <c r="A26" s="6" t="s">
        <v>48</v>
      </c>
      <c r="B26" s="8" t="s">
        <v>53</v>
      </c>
      <c r="C26" s="24">
        <v>2204284760.0943475</v>
      </c>
      <c r="D26" s="25">
        <f t="shared" si="1"/>
        <v>18075135.032773651</v>
      </c>
      <c r="E26" s="25">
        <f t="shared" si="2"/>
        <v>4518783.7581934128</v>
      </c>
      <c r="F26" s="25">
        <f t="shared" si="3"/>
        <v>6025045.0109245498</v>
      </c>
      <c r="G26" s="25">
        <f t="shared" si="4"/>
        <v>9037567.5163868256</v>
      </c>
      <c r="H26" s="25">
        <f>100000000*('State by State Data'!R29/SUM('State by State Data'!R$16:R$66))</f>
        <v>2841836.5269164592</v>
      </c>
      <c r="I26" s="1"/>
      <c r="J26" s="1"/>
      <c r="K26" s="1"/>
      <c r="L26" s="1"/>
      <c r="M26" s="1"/>
      <c r="N26" s="1"/>
      <c r="O26" s="1"/>
      <c r="P26" s="1"/>
      <c r="Q26" s="1"/>
      <c r="R26" s="1"/>
      <c r="S26" s="1"/>
      <c r="T26" s="1"/>
    </row>
    <row r="27" spans="1:20" x14ac:dyDescent="0.2">
      <c r="A27" s="6" t="s">
        <v>11</v>
      </c>
      <c r="B27" s="8" t="s">
        <v>53</v>
      </c>
      <c r="C27" s="24">
        <v>647004126.50591958</v>
      </c>
      <c r="D27" s="25">
        <f t="shared" si="1"/>
        <v>5305433.8373485412</v>
      </c>
      <c r="E27" s="25">
        <f t="shared" si="2"/>
        <v>1326358.4593371353</v>
      </c>
      <c r="F27" s="25">
        <f t="shared" si="3"/>
        <v>1768477.945782847</v>
      </c>
      <c r="G27" s="25">
        <f t="shared" si="4"/>
        <v>2652716.9186742706</v>
      </c>
      <c r="H27" s="25">
        <f>100000000*('State by State Data'!R30/SUM('State by State Data'!R$16:R$66))</f>
        <v>1826516.1061269902</v>
      </c>
      <c r="I27" s="1"/>
      <c r="J27" s="1"/>
      <c r="K27" s="1"/>
      <c r="L27" s="1"/>
      <c r="M27" s="1"/>
      <c r="N27" s="1"/>
      <c r="O27" s="1"/>
      <c r="P27" s="1"/>
      <c r="Q27" s="1"/>
      <c r="R27" s="1"/>
      <c r="S27" s="1"/>
      <c r="T27" s="1"/>
    </row>
    <row r="28" spans="1:20" x14ac:dyDescent="0.2">
      <c r="A28" s="6" t="s">
        <v>12</v>
      </c>
      <c r="B28" s="8" t="s">
        <v>53</v>
      </c>
      <c r="C28" s="24">
        <v>430516262.61469108</v>
      </c>
      <c r="D28" s="25">
        <f t="shared" si="1"/>
        <v>3530233.3534404673</v>
      </c>
      <c r="E28" s="25">
        <f t="shared" si="2"/>
        <v>882558.33836011682</v>
      </c>
      <c r="F28" s="25">
        <f t="shared" si="3"/>
        <v>1176744.4511468224</v>
      </c>
      <c r="G28" s="25">
        <f t="shared" si="4"/>
        <v>1765116.6767202336</v>
      </c>
      <c r="H28" s="25">
        <f>100000000*('State by State Data'!R31/SUM('State by State Data'!R$16:R$66))</f>
        <v>481569.51501066884</v>
      </c>
      <c r="I28" s="1"/>
      <c r="J28" s="1"/>
      <c r="K28" s="1"/>
      <c r="L28" s="1"/>
      <c r="M28" s="1"/>
      <c r="N28" s="1"/>
      <c r="O28" s="1"/>
      <c r="P28" s="1"/>
      <c r="Q28" s="1"/>
      <c r="R28" s="1"/>
      <c r="S28" s="1"/>
      <c r="T28" s="1"/>
    </row>
    <row r="29" spans="1:20" x14ac:dyDescent="0.2">
      <c r="A29" s="6" t="s">
        <v>13</v>
      </c>
      <c r="B29" s="8" t="s">
        <v>53</v>
      </c>
      <c r="C29" s="24">
        <v>590714575.14594066</v>
      </c>
      <c r="D29" s="25">
        <f t="shared" si="1"/>
        <v>4843859.5161967138</v>
      </c>
      <c r="E29" s="25">
        <f t="shared" si="2"/>
        <v>1210964.8790491784</v>
      </c>
      <c r="F29" s="25">
        <f t="shared" si="3"/>
        <v>1614619.8387322379</v>
      </c>
      <c r="G29" s="25">
        <f t="shared" si="4"/>
        <v>2421929.7580983569</v>
      </c>
      <c r="H29" s="25">
        <f>100000000*('State by State Data'!R32/SUM('State by State Data'!R$16:R$66))</f>
        <v>870023.66253701691</v>
      </c>
      <c r="I29" s="1"/>
      <c r="J29" s="1"/>
      <c r="K29" s="1"/>
      <c r="L29" s="1"/>
      <c r="M29" s="1"/>
      <c r="N29" s="1"/>
      <c r="O29" s="1"/>
      <c r="P29" s="1"/>
      <c r="Q29" s="1"/>
      <c r="R29" s="1"/>
      <c r="S29" s="1"/>
      <c r="T29" s="1"/>
    </row>
    <row r="30" spans="1:20" x14ac:dyDescent="0.2">
      <c r="A30" s="6" t="s">
        <v>14</v>
      </c>
      <c r="B30" s="8" t="s">
        <v>54</v>
      </c>
      <c r="C30" s="24">
        <v>458432468.64859122</v>
      </c>
      <c r="D30" s="25">
        <f t="shared" si="1"/>
        <v>3759146.2429184485</v>
      </c>
      <c r="E30" s="25">
        <f t="shared" si="2"/>
        <v>939786.56072961213</v>
      </c>
      <c r="F30" s="25">
        <f t="shared" si="3"/>
        <v>1253048.7476394828</v>
      </c>
      <c r="G30" s="25">
        <f t="shared" si="4"/>
        <v>1879573.1214592243</v>
      </c>
      <c r="H30" s="25">
        <f>100000000*('State by State Data'!R33/SUM('State by State Data'!R$16:R$66))</f>
        <v>897766.62974245078</v>
      </c>
      <c r="I30" s="1"/>
      <c r="J30" s="1"/>
      <c r="K30" s="1"/>
      <c r="L30" s="1"/>
      <c r="M30" s="1"/>
      <c r="N30" s="1"/>
      <c r="O30" s="1"/>
      <c r="P30" s="1"/>
      <c r="Q30" s="1"/>
      <c r="R30" s="1"/>
      <c r="S30" s="1"/>
      <c r="T30" s="1"/>
    </row>
    <row r="31" spans="1:20" x14ac:dyDescent="0.2">
      <c r="A31" s="6" t="s">
        <v>15</v>
      </c>
      <c r="B31" s="8" t="s">
        <v>53</v>
      </c>
      <c r="C31" s="24">
        <v>618045041.15906024</v>
      </c>
      <c r="D31" s="25">
        <f t="shared" si="1"/>
        <v>5067969.3375042947</v>
      </c>
      <c r="E31" s="25">
        <f t="shared" si="2"/>
        <v>1266992.3343760737</v>
      </c>
      <c r="F31" s="25">
        <f t="shared" si="3"/>
        <v>1689323.1125014315</v>
      </c>
      <c r="G31" s="25">
        <f t="shared" si="4"/>
        <v>2533984.6687521474</v>
      </c>
      <c r="H31" s="25">
        <f>100000000*('State by State Data'!R34/SUM('State by State Data'!R$16:R$66))</f>
        <v>1262758.8832696883</v>
      </c>
      <c r="I31" s="1"/>
      <c r="J31" s="1"/>
      <c r="K31" s="1"/>
      <c r="L31" s="1"/>
      <c r="M31" s="1"/>
      <c r="N31" s="1"/>
      <c r="O31" s="1"/>
      <c r="P31" s="1"/>
      <c r="Q31" s="1"/>
      <c r="R31" s="1"/>
      <c r="S31" s="1"/>
      <c r="T31" s="1"/>
    </row>
    <row r="32" spans="1:20" x14ac:dyDescent="0.2">
      <c r="A32" s="6" t="s">
        <v>49</v>
      </c>
      <c r="B32" s="8" t="s">
        <v>54</v>
      </c>
      <c r="C32" s="24">
        <v>454513543.94455618</v>
      </c>
      <c r="D32" s="25">
        <f t="shared" si="1"/>
        <v>3727011.060345361</v>
      </c>
      <c r="E32" s="25">
        <f t="shared" si="2"/>
        <v>931752.76508634025</v>
      </c>
      <c r="F32" s="25">
        <f t="shared" si="3"/>
        <v>1242337.0201151203</v>
      </c>
      <c r="G32" s="25">
        <f t="shared" si="4"/>
        <v>1863505.5301726805</v>
      </c>
      <c r="H32" s="25">
        <f>100000000*('State by State Data'!R35/SUM('State by State Data'!R$16:R$66))</f>
        <v>445315.93369595608</v>
      </c>
      <c r="I32" s="1"/>
      <c r="J32" s="1"/>
      <c r="K32" s="1"/>
      <c r="L32" s="1"/>
      <c r="M32" s="1"/>
      <c r="N32" s="1"/>
      <c r="O32" s="1"/>
      <c r="P32" s="1"/>
      <c r="Q32" s="1"/>
      <c r="R32" s="1"/>
      <c r="S32" s="1"/>
      <c r="T32" s="1"/>
    </row>
    <row r="33" spans="1:20" x14ac:dyDescent="0.2">
      <c r="A33" s="6" t="s">
        <v>16</v>
      </c>
      <c r="B33" s="8" t="s">
        <v>55</v>
      </c>
      <c r="C33" s="24">
        <v>1050477833.263646</v>
      </c>
      <c r="D33" s="25">
        <f t="shared" si="1"/>
        <v>8613918.2327618971</v>
      </c>
      <c r="E33" s="25">
        <f t="shared" si="2"/>
        <v>2153479.5581904743</v>
      </c>
      <c r="F33" s="25">
        <f t="shared" si="3"/>
        <v>2871306.077587299</v>
      </c>
      <c r="G33" s="25">
        <f t="shared" si="4"/>
        <v>4306959.1163809486</v>
      </c>
      <c r="H33" s="25">
        <f>100000000*('State by State Data'!R36/SUM('State by State Data'!R$16:R$66))</f>
        <v>1110893.9607462059</v>
      </c>
      <c r="I33" s="1"/>
      <c r="J33" s="1"/>
      <c r="K33" s="1"/>
      <c r="L33" s="1"/>
      <c r="M33" s="1"/>
      <c r="N33" s="1"/>
      <c r="O33" s="1"/>
      <c r="P33" s="1"/>
      <c r="Q33" s="1"/>
      <c r="R33" s="1"/>
      <c r="S33" s="1"/>
      <c r="T33" s="1"/>
    </row>
    <row r="34" spans="1:20" x14ac:dyDescent="0.2">
      <c r="A34" s="6" t="s">
        <v>17</v>
      </c>
      <c r="B34" s="8" t="s">
        <v>55</v>
      </c>
      <c r="C34" s="21" t="s">
        <v>80</v>
      </c>
      <c r="D34" s="22" t="s">
        <v>80</v>
      </c>
      <c r="E34" s="22" t="s">
        <v>80</v>
      </c>
      <c r="F34" s="21" t="s">
        <v>80</v>
      </c>
      <c r="G34" s="22" t="s">
        <v>80</v>
      </c>
      <c r="H34" s="25">
        <f>100000000*('State by State Data'!R37/SUM('State by State Data'!R$16:R$66))</f>
        <v>845395.91564655944</v>
      </c>
      <c r="I34" s="1"/>
      <c r="J34" s="1"/>
      <c r="K34" s="1"/>
      <c r="L34" s="1"/>
      <c r="M34" s="1"/>
      <c r="N34" s="1"/>
      <c r="O34" s="1"/>
      <c r="P34" s="1"/>
      <c r="Q34" s="1"/>
      <c r="R34" s="1"/>
      <c r="S34" s="1"/>
      <c r="T34" s="1"/>
    </row>
    <row r="35" spans="1:20" x14ac:dyDescent="0.2">
      <c r="A35" s="6" t="s">
        <v>18</v>
      </c>
      <c r="B35" s="8" t="s">
        <v>53</v>
      </c>
      <c r="C35" s="24">
        <v>1616294674.4261882</v>
      </c>
      <c r="D35" s="25">
        <f t="shared" ref="D35:D57" si="5">C35*0.0082</f>
        <v>13253616.330294745</v>
      </c>
      <c r="E35" s="25">
        <f t="shared" si="2"/>
        <v>3313404.0825736863</v>
      </c>
      <c r="F35" s="25">
        <f t="shared" si="3"/>
        <v>4417872.1100982483</v>
      </c>
      <c r="G35" s="25">
        <f t="shared" si="4"/>
        <v>6626808.1651473725</v>
      </c>
      <c r="H35" s="25">
        <f>100000000*('State by State Data'!R38/SUM('State by State Data'!R$16:R$66))</f>
        <v>2250599.4203536385</v>
      </c>
      <c r="I35" s="1"/>
      <c r="J35" s="1"/>
      <c r="K35" s="1"/>
      <c r="L35" s="1"/>
      <c r="M35" s="1"/>
      <c r="N35" s="1"/>
      <c r="O35" s="1"/>
      <c r="P35" s="1"/>
      <c r="Q35" s="1"/>
      <c r="R35" s="1"/>
      <c r="S35" s="1"/>
      <c r="T35" s="1"/>
    </row>
    <row r="36" spans="1:20" x14ac:dyDescent="0.2">
      <c r="A36" s="6" t="s">
        <v>19</v>
      </c>
      <c r="B36" s="8" t="s">
        <v>55</v>
      </c>
      <c r="C36" s="24">
        <v>681691342.75938106</v>
      </c>
      <c r="D36" s="25">
        <f t="shared" si="5"/>
        <v>5589869.0106269252</v>
      </c>
      <c r="E36" s="25">
        <f t="shared" si="2"/>
        <v>1397467.2526567313</v>
      </c>
      <c r="F36" s="25">
        <f t="shared" si="3"/>
        <v>1863289.670208975</v>
      </c>
      <c r="G36" s="25">
        <f t="shared" si="4"/>
        <v>2794934.5053134626</v>
      </c>
      <c r="H36" s="25">
        <f>100000000*('State by State Data'!R39/SUM('State by State Data'!R$16:R$66))</f>
        <v>1306088.0001674078</v>
      </c>
      <c r="I36" s="1"/>
      <c r="J36" s="1"/>
      <c r="K36" s="1"/>
      <c r="L36" s="1"/>
      <c r="M36" s="1"/>
      <c r="N36" s="1"/>
      <c r="O36" s="1"/>
      <c r="P36" s="1"/>
      <c r="Q36" s="1"/>
      <c r="R36" s="1"/>
      <c r="S36" s="1"/>
      <c r="T36" s="1"/>
    </row>
    <row r="37" spans="1:20" x14ac:dyDescent="0.2">
      <c r="A37" s="6" t="s">
        <v>20</v>
      </c>
      <c r="B37" s="8" t="s">
        <v>53</v>
      </c>
      <c r="C37" s="24">
        <v>570063942.9960829</v>
      </c>
      <c r="D37" s="25">
        <f t="shared" si="5"/>
        <v>4674524.3325678799</v>
      </c>
      <c r="E37" s="25">
        <f t="shared" si="2"/>
        <v>1168631.08314197</v>
      </c>
      <c r="F37" s="25">
        <f t="shared" si="3"/>
        <v>1558174.7775226266</v>
      </c>
      <c r="G37" s="25">
        <f t="shared" si="4"/>
        <v>2337262.16628394</v>
      </c>
      <c r="H37" s="25">
        <f>100000000*('State by State Data'!R40/SUM('State by State Data'!R$16:R$66))</f>
        <v>1159857.3290415341</v>
      </c>
      <c r="I37" s="1"/>
      <c r="J37" s="1"/>
      <c r="K37" s="1"/>
      <c r="L37" s="1"/>
      <c r="M37" s="1"/>
      <c r="N37" s="1"/>
      <c r="O37" s="1"/>
      <c r="P37" s="1"/>
      <c r="Q37" s="1"/>
      <c r="R37" s="1"/>
      <c r="S37" s="1"/>
      <c r="T37" s="1"/>
    </row>
    <row r="38" spans="1:20" x14ac:dyDescent="0.2">
      <c r="A38" s="6" t="s">
        <v>21</v>
      </c>
      <c r="B38" s="8" t="s">
        <v>53</v>
      </c>
      <c r="C38" s="24">
        <v>1225580369.6353006</v>
      </c>
      <c r="D38" s="25">
        <f t="shared" si="5"/>
        <v>10049759.031009465</v>
      </c>
      <c r="E38" s="25">
        <f t="shared" si="2"/>
        <v>2512439.7577523664</v>
      </c>
      <c r="F38" s="25">
        <f t="shared" si="3"/>
        <v>3349919.677003155</v>
      </c>
      <c r="G38" s="25">
        <f t="shared" si="4"/>
        <v>5024879.5155047327</v>
      </c>
      <c r="H38" s="25">
        <f>100000000*('State by State Data'!R41/SUM('State by State Data'!R$16:R$66))</f>
        <v>2064643.2902859659</v>
      </c>
      <c r="I38" s="1"/>
      <c r="J38" s="1"/>
      <c r="K38" s="1"/>
      <c r="L38" s="1"/>
      <c r="M38" s="1"/>
      <c r="N38" s="1"/>
      <c r="O38" s="1"/>
      <c r="P38" s="1"/>
      <c r="Q38" s="1"/>
      <c r="R38" s="1"/>
      <c r="S38" s="1"/>
      <c r="T38" s="1"/>
    </row>
    <row r="39" spans="1:20" x14ac:dyDescent="0.2">
      <c r="A39" s="6" t="s">
        <v>22</v>
      </c>
      <c r="B39" s="8" t="s">
        <v>53</v>
      </c>
      <c r="C39" s="24">
        <v>339183812.28674948</v>
      </c>
      <c r="D39" s="25">
        <f t="shared" si="5"/>
        <v>2781307.2607513461</v>
      </c>
      <c r="E39" s="25">
        <f t="shared" si="2"/>
        <v>695326.81518783653</v>
      </c>
      <c r="F39" s="25">
        <f t="shared" si="3"/>
        <v>927102.42025044863</v>
      </c>
      <c r="G39" s="25">
        <f t="shared" si="4"/>
        <v>1390653.6303756731</v>
      </c>
      <c r="H39" s="25">
        <f>100000000*('State by State Data'!R42/SUM('State by State Data'!R$16:R$66))</f>
        <v>378943.53573486477</v>
      </c>
      <c r="I39" s="1"/>
      <c r="J39" s="1"/>
      <c r="K39" s="1"/>
      <c r="L39" s="1"/>
      <c r="M39" s="1"/>
      <c r="N39" s="1"/>
      <c r="O39" s="1"/>
      <c r="P39" s="1"/>
      <c r="Q39" s="1"/>
      <c r="R39" s="1"/>
      <c r="S39" s="1"/>
      <c r="T39" s="1"/>
    </row>
    <row r="40" spans="1:20" x14ac:dyDescent="0.2">
      <c r="A40" s="6" t="s">
        <v>23</v>
      </c>
      <c r="B40" s="8" t="s">
        <v>53</v>
      </c>
      <c r="C40" s="24">
        <v>743564830.92433941</v>
      </c>
      <c r="D40" s="25">
        <f t="shared" si="5"/>
        <v>6097231.6135795834</v>
      </c>
      <c r="E40" s="25">
        <f t="shared" si="2"/>
        <v>1524307.9033948958</v>
      </c>
      <c r="F40" s="25">
        <f t="shared" si="3"/>
        <v>2032410.537859861</v>
      </c>
      <c r="G40" s="25">
        <f t="shared" si="4"/>
        <v>3048615.8067897917</v>
      </c>
      <c r="H40" s="25">
        <f>100000000*('State by State Data'!R43/SUM('State by State Data'!R$16:R$66))</f>
        <v>417192.04243534541</v>
      </c>
      <c r="I40" s="1"/>
      <c r="J40" s="1"/>
      <c r="K40" s="1"/>
      <c r="L40" s="1"/>
      <c r="M40" s="1"/>
      <c r="N40" s="1"/>
      <c r="O40" s="1"/>
      <c r="P40" s="1"/>
      <c r="Q40" s="1"/>
      <c r="R40" s="1"/>
      <c r="S40" s="1"/>
      <c r="T40" s="1"/>
    </row>
    <row r="41" spans="1:20" x14ac:dyDescent="0.2">
      <c r="A41" s="6" t="s">
        <v>24</v>
      </c>
      <c r="B41" s="8" t="s">
        <v>55</v>
      </c>
      <c r="C41" s="24">
        <v>481920941.62465048</v>
      </c>
      <c r="D41" s="25">
        <f t="shared" si="5"/>
        <v>3951751.7213221341</v>
      </c>
      <c r="E41" s="25">
        <f t="shared" si="2"/>
        <v>987937.93033053353</v>
      </c>
      <c r="F41" s="25">
        <f t="shared" si="3"/>
        <v>1317250.5737740446</v>
      </c>
      <c r="G41" s="25">
        <f t="shared" si="4"/>
        <v>1975875.8606610671</v>
      </c>
      <c r="H41" s="25">
        <f>100000000*('State by State Data'!R44/SUM('State by State Data'!R$16:R$66))</f>
        <v>1027263.9702765489</v>
      </c>
      <c r="I41" s="1"/>
      <c r="J41" s="1"/>
      <c r="K41" s="1"/>
      <c r="L41" s="1"/>
      <c r="M41" s="1"/>
      <c r="N41" s="1"/>
      <c r="O41" s="1"/>
      <c r="P41" s="1"/>
      <c r="Q41" s="1"/>
      <c r="R41" s="1"/>
      <c r="S41" s="1"/>
      <c r="T41" s="1"/>
    </row>
    <row r="42" spans="1:20" x14ac:dyDescent="0.2">
      <c r="A42" s="6" t="s">
        <v>25</v>
      </c>
      <c r="B42" s="8" t="s">
        <v>53</v>
      </c>
      <c r="C42" s="24">
        <v>244670947.41854653</v>
      </c>
      <c r="D42" s="25">
        <f t="shared" si="5"/>
        <v>2006301.7688320817</v>
      </c>
      <c r="E42" s="25">
        <f t="shared" si="2"/>
        <v>501575.44220802042</v>
      </c>
      <c r="F42" s="25">
        <f t="shared" si="3"/>
        <v>668767.25627736049</v>
      </c>
      <c r="G42" s="25">
        <f t="shared" si="4"/>
        <v>1003150.8844160408</v>
      </c>
      <c r="H42" s="25">
        <f>100000000*('State by State Data'!R45/SUM('State by State Data'!R$16:R$66))</f>
        <v>369660.69928434608</v>
      </c>
      <c r="I42" s="1"/>
      <c r="J42" s="1"/>
      <c r="K42" s="1"/>
      <c r="L42" s="1"/>
      <c r="M42" s="1"/>
      <c r="N42" s="1"/>
      <c r="O42" s="1"/>
      <c r="P42" s="1"/>
      <c r="Q42" s="1"/>
      <c r="R42" s="1"/>
      <c r="S42" s="1"/>
      <c r="T42" s="1"/>
    </row>
    <row r="43" spans="1:20" x14ac:dyDescent="0.2">
      <c r="A43" s="6" t="s">
        <v>26</v>
      </c>
      <c r="B43" s="8" t="s">
        <v>55</v>
      </c>
      <c r="C43" s="24">
        <v>1611252108.3326185</v>
      </c>
      <c r="D43" s="25">
        <f t="shared" si="5"/>
        <v>13212267.288327472</v>
      </c>
      <c r="E43" s="25">
        <f t="shared" si="2"/>
        <v>3303066.8220818681</v>
      </c>
      <c r="F43" s="25">
        <f t="shared" si="3"/>
        <v>4404089.0961091574</v>
      </c>
      <c r="G43" s="25">
        <f t="shared" si="4"/>
        <v>6606133.6441637361</v>
      </c>
      <c r="H43" s="25">
        <f>100000000*('State by State Data'!R46/SUM('State by State Data'!R$16:R$66))</f>
        <v>2292881.6752206502</v>
      </c>
      <c r="I43" s="1"/>
      <c r="J43" s="1"/>
      <c r="K43" s="1"/>
      <c r="L43" s="1"/>
      <c r="M43" s="1"/>
      <c r="N43" s="1"/>
      <c r="O43" s="1"/>
      <c r="P43" s="1"/>
      <c r="Q43" s="1"/>
      <c r="R43" s="1"/>
      <c r="S43" s="1"/>
      <c r="T43" s="1"/>
    </row>
    <row r="44" spans="1:20" x14ac:dyDescent="0.2">
      <c r="A44" s="6" t="s">
        <v>27</v>
      </c>
      <c r="B44" s="8" t="s">
        <v>54</v>
      </c>
      <c r="C44" s="24">
        <v>266190262.34088501</v>
      </c>
      <c r="D44" s="25">
        <f t="shared" si="5"/>
        <v>2182760.1511952574</v>
      </c>
      <c r="E44" s="25">
        <f t="shared" si="2"/>
        <v>545690.03779881436</v>
      </c>
      <c r="F44" s="25">
        <f t="shared" si="3"/>
        <v>727586.71706508577</v>
      </c>
      <c r="G44" s="25">
        <f t="shared" si="4"/>
        <v>1091380.0755976287</v>
      </c>
      <c r="H44" s="25">
        <f>100000000*('State by State Data'!R47/SUM('State by State Data'!R$16:R$66))</f>
        <v>604485.83696913172</v>
      </c>
      <c r="I44" s="1"/>
      <c r="J44" s="1"/>
      <c r="K44" s="1"/>
      <c r="L44" s="1"/>
      <c r="M44" s="1"/>
      <c r="N44" s="1"/>
      <c r="O44" s="1"/>
      <c r="P44" s="1"/>
      <c r="Q44" s="1"/>
      <c r="R44" s="1"/>
      <c r="S44" s="1"/>
      <c r="T44" s="1"/>
    </row>
    <row r="45" spans="1:20" x14ac:dyDescent="0.2">
      <c r="A45" s="6" t="s">
        <v>50</v>
      </c>
      <c r="B45" s="8" t="s">
        <v>55</v>
      </c>
      <c r="C45" s="24">
        <v>1797321055.7256114</v>
      </c>
      <c r="D45" s="25">
        <f t="shared" si="5"/>
        <v>14738032.656950016</v>
      </c>
      <c r="E45" s="25">
        <f t="shared" si="2"/>
        <v>3684508.1642375039</v>
      </c>
      <c r="F45" s="25">
        <f t="shared" si="3"/>
        <v>4912677.5523166712</v>
      </c>
      <c r="G45" s="25">
        <f t="shared" si="4"/>
        <v>7369016.3284750078</v>
      </c>
      <c r="H45" s="25">
        <f>100000000*('State by State Data'!R48/SUM('State by State Data'!R$16:R$66))</f>
        <v>3403475.8600180396</v>
      </c>
      <c r="I45" s="1"/>
      <c r="J45" s="1"/>
      <c r="K45" s="1"/>
      <c r="L45" s="1"/>
      <c r="M45" s="1"/>
      <c r="N45" s="1"/>
      <c r="O45" s="1"/>
      <c r="P45" s="1"/>
      <c r="Q45" s="1"/>
      <c r="R45" s="1"/>
      <c r="S45" s="1"/>
      <c r="T45" s="1"/>
    </row>
    <row r="46" spans="1:20" x14ac:dyDescent="0.2">
      <c r="A46" s="6" t="s">
        <v>28</v>
      </c>
      <c r="B46" s="8" t="s">
        <v>53</v>
      </c>
      <c r="C46" s="24">
        <v>3516245829.3275619</v>
      </c>
      <c r="D46" s="25">
        <f t="shared" si="5"/>
        <v>28833215.80048601</v>
      </c>
      <c r="E46" s="25">
        <f t="shared" si="2"/>
        <v>7208303.9501215024</v>
      </c>
      <c r="F46" s="25">
        <f t="shared" si="3"/>
        <v>9611071.9334953353</v>
      </c>
      <c r="G46" s="25">
        <f t="shared" si="4"/>
        <v>14416607.900243005</v>
      </c>
      <c r="H46" s="25">
        <f>100000000*('State by State Data'!R49/SUM('State by State Data'!R$16:R$66))</f>
        <v>3731071.1407412887</v>
      </c>
      <c r="I46" s="1"/>
      <c r="J46" s="1"/>
      <c r="K46" s="1"/>
      <c r="L46" s="1"/>
      <c r="M46" s="1"/>
      <c r="N46" s="1"/>
      <c r="O46" s="1"/>
      <c r="P46" s="1"/>
      <c r="Q46" s="1"/>
      <c r="R46" s="1"/>
      <c r="S46" s="1"/>
      <c r="T46" s="1"/>
    </row>
    <row r="47" spans="1:20" x14ac:dyDescent="0.2">
      <c r="A47" s="6" t="s">
        <v>29</v>
      </c>
      <c r="B47" s="8" t="s">
        <v>53</v>
      </c>
      <c r="C47" s="24">
        <v>191279650.31930432</v>
      </c>
      <c r="D47" s="25">
        <f t="shared" si="5"/>
        <v>1568493.1326182955</v>
      </c>
      <c r="E47" s="25">
        <f t="shared" si="2"/>
        <v>392123.28315457387</v>
      </c>
      <c r="F47" s="25">
        <f t="shared" si="3"/>
        <v>522831.04420609848</v>
      </c>
      <c r="G47" s="25">
        <f t="shared" si="4"/>
        <v>784246.56630914775</v>
      </c>
      <c r="H47" s="25">
        <f>100000000*('State by State Data'!R50/SUM('State by State Data'!R$16:R$66))</f>
        <v>248111.94222057093</v>
      </c>
      <c r="I47" s="1"/>
      <c r="J47" s="1"/>
      <c r="K47" s="1"/>
      <c r="L47" s="1"/>
      <c r="M47" s="1"/>
      <c r="N47" s="1"/>
      <c r="O47" s="1"/>
      <c r="P47" s="1"/>
      <c r="Q47" s="1"/>
      <c r="R47" s="1"/>
      <c r="S47" s="1"/>
      <c r="T47" s="1"/>
    </row>
    <row r="48" spans="1:20" x14ac:dyDescent="0.2">
      <c r="A48" s="6" t="s">
        <v>30</v>
      </c>
      <c r="B48" s="8" t="s">
        <v>53</v>
      </c>
      <c r="C48" s="24">
        <v>1117715982.16377</v>
      </c>
      <c r="D48" s="25">
        <f t="shared" si="5"/>
        <v>9165271.0537429135</v>
      </c>
      <c r="E48" s="25">
        <f t="shared" si="2"/>
        <v>2291317.7634357284</v>
      </c>
      <c r="F48" s="25">
        <f t="shared" si="3"/>
        <v>3055090.3512476375</v>
      </c>
      <c r="G48" s="25">
        <f t="shared" si="4"/>
        <v>4582635.5268714568</v>
      </c>
      <c r="H48" s="25">
        <f>100000000*('State by State Data'!R51/SUM('State by State Data'!R$16:R$66))</f>
        <v>2702013.4956117631</v>
      </c>
      <c r="I48" s="1"/>
      <c r="J48" s="1"/>
      <c r="K48" s="1"/>
      <c r="L48" s="1"/>
      <c r="M48" s="1"/>
      <c r="N48" s="1"/>
      <c r="O48" s="1"/>
      <c r="P48" s="1"/>
      <c r="Q48" s="1"/>
      <c r="R48" s="1"/>
      <c r="S48" s="1"/>
      <c r="T48" s="1"/>
    </row>
    <row r="49" spans="1:20" x14ac:dyDescent="0.2">
      <c r="A49" s="6" t="s">
        <v>31</v>
      </c>
      <c r="B49" s="8" t="s">
        <v>53</v>
      </c>
      <c r="C49" s="24">
        <v>1008276002.7167993</v>
      </c>
      <c r="D49" s="25">
        <f t="shared" si="5"/>
        <v>8267863.2222777549</v>
      </c>
      <c r="E49" s="25">
        <f t="shared" si="2"/>
        <v>2066965.8055694387</v>
      </c>
      <c r="F49" s="25">
        <f t="shared" si="3"/>
        <v>2755954.4074259182</v>
      </c>
      <c r="G49" s="25">
        <f t="shared" si="4"/>
        <v>4133931.6111388775</v>
      </c>
      <c r="H49" s="25">
        <f>100000000*('State by State Data'!R52/SUM('State by State Data'!R$16:R$66))</f>
        <v>1800381.9224942552</v>
      </c>
      <c r="I49" s="1"/>
      <c r="J49" s="1"/>
      <c r="K49" s="1"/>
      <c r="L49" s="1"/>
      <c r="M49" s="1"/>
      <c r="N49" s="1"/>
      <c r="O49" s="1"/>
      <c r="P49" s="1"/>
      <c r="Q49" s="1"/>
      <c r="R49" s="1"/>
      <c r="S49" s="1"/>
      <c r="T49" s="1"/>
    </row>
    <row r="50" spans="1:20" x14ac:dyDescent="0.2">
      <c r="A50" s="6" t="s">
        <v>51</v>
      </c>
      <c r="B50" s="8" t="s">
        <v>54</v>
      </c>
      <c r="C50" s="24">
        <v>986379247.68302584</v>
      </c>
      <c r="D50" s="25">
        <f t="shared" si="5"/>
        <v>8088309.8310008124</v>
      </c>
      <c r="E50" s="25">
        <f t="shared" si="2"/>
        <v>2022077.4577502031</v>
      </c>
      <c r="F50" s="25">
        <f t="shared" si="3"/>
        <v>2696103.2770002708</v>
      </c>
      <c r="G50" s="25">
        <f t="shared" si="4"/>
        <v>4044154.9155004062</v>
      </c>
      <c r="H50" s="25">
        <f>100000000*('State by State Data'!R53/SUM('State by State Data'!R$16:R$66))</f>
        <v>1274295.138663125</v>
      </c>
      <c r="I50" s="1"/>
      <c r="J50" s="1"/>
      <c r="K50" s="1"/>
      <c r="L50" s="1"/>
      <c r="M50" s="1"/>
      <c r="N50" s="1"/>
      <c r="O50" s="1"/>
      <c r="P50" s="1"/>
      <c r="Q50" s="1"/>
      <c r="R50" s="1"/>
      <c r="S50" s="1"/>
      <c r="T50" s="1"/>
    </row>
    <row r="51" spans="1:20" x14ac:dyDescent="0.2">
      <c r="A51" s="6" t="s">
        <v>32</v>
      </c>
      <c r="B51" s="8" t="s">
        <v>55</v>
      </c>
      <c r="C51" s="24">
        <v>2639852660.5097075</v>
      </c>
      <c r="D51" s="25">
        <f t="shared" si="5"/>
        <v>21646791.816179603</v>
      </c>
      <c r="E51" s="25">
        <f t="shared" si="2"/>
        <v>5411697.9540449008</v>
      </c>
      <c r="F51" s="25">
        <f t="shared" si="3"/>
        <v>7215597.2720598672</v>
      </c>
      <c r="G51" s="25">
        <f t="shared" si="4"/>
        <v>10823395.908089802</v>
      </c>
      <c r="H51" s="25">
        <f>100000000*('State by State Data'!R54/SUM('State by State Data'!R$16:R$66))</f>
        <v>2746904.2631177944</v>
      </c>
      <c r="I51" s="1"/>
      <c r="J51" s="1"/>
      <c r="K51" s="1"/>
      <c r="L51" s="1"/>
      <c r="M51" s="1"/>
      <c r="N51" s="1"/>
      <c r="O51" s="1"/>
      <c r="P51" s="1"/>
      <c r="Q51" s="1"/>
      <c r="R51" s="1"/>
      <c r="S51" s="1"/>
      <c r="T51" s="1"/>
    </row>
    <row r="52" spans="1:20" x14ac:dyDescent="0.2">
      <c r="A52" s="6" t="s">
        <v>33</v>
      </c>
      <c r="B52" s="8" t="s">
        <v>55</v>
      </c>
      <c r="C52" s="24">
        <v>210643797.63244942</v>
      </c>
      <c r="D52" s="25">
        <f t="shared" si="5"/>
        <v>1727279.1405860854</v>
      </c>
      <c r="E52" s="25">
        <f t="shared" si="2"/>
        <v>431819.78514652135</v>
      </c>
      <c r="F52" s="25">
        <f t="shared" si="3"/>
        <v>575759.71352869505</v>
      </c>
      <c r="G52" s="25">
        <f t="shared" si="4"/>
        <v>863639.57029304269</v>
      </c>
      <c r="H52" s="25">
        <f>100000000*('State by State Data'!R55/SUM('State by State Data'!R$16:R$66))</f>
        <v>216073.11581930125</v>
      </c>
      <c r="I52" s="1"/>
      <c r="J52" s="1"/>
      <c r="K52" s="1"/>
      <c r="L52" s="1"/>
      <c r="M52" s="1"/>
      <c r="N52" s="1"/>
      <c r="O52" s="1"/>
      <c r="P52" s="1"/>
      <c r="Q52" s="1"/>
      <c r="R52" s="1"/>
      <c r="S52" s="1"/>
      <c r="T52" s="1"/>
    </row>
    <row r="53" spans="1:20" x14ac:dyDescent="0.2">
      <c r="A53" s="6" t="s">
        <v>34</v>
      </c>
      <c r="B53" s="8" t="s">
        <v>53</v>
      </c>
      <c r="C53" s="24">
        <v>1379825607.3225009</v>
      </c>
      <c r="D53" s="25">
        <f t="shared" si="5"/>
        <v>11314569.980044508</v>
      </c>
      <c r="E53" s="25">
        <f t="shared" si="2"/>
        <v>2828642.4950111271</v>
      </c>
      <c r="F53" s="25">
        <f t="shared" si="3"/>
        <v>3771523.3266815026</v>
      </c>
      <c r="G53" s="25">
        <f t="shared" si="4"/>
        <v>5657284.9900222542</v>
      </c>
      <c r="H53" s="25">
        <f>100000000*('State by State Data'!R56/SUM('State by State Data'!R$16:R$66))</f>
        <v>1750494.7747375376</v>
      </c>
      <c r="I53" s="1"/>
      <c r="J53" s="1"/>
      <c r="K53" s="1"/>
      <c r="L53" s="1"/>
      <c r="M53" s="1"/>
      <c r="N53" s="1"/>
      <c r="O53" s="1"/>
      <c r="P53" s="1"/>
      <c r="Q53" s="1"/>
      <c r="R53" s="1"/>
      <c r="S53" s="1"/>
      <c r="T53" s="1"/>
    </row>
    <row r="54" spans="1:20" x14ac:dyDescent="0.2">
      <c r="A54" s="6" t="s">
        <v>35</v>
      </c>
      <c r="B54" s="8" t="s">
        <v>53</v>
      </c>
      <c r="C54" s="24">
        <v>210417927.14851859</v>
      </c>
      <c r="D54" s="25">
        <f t="shared" si="5"/>
        <v>1725427.0026178525</v>
      </c>
      <c r="E54" s="25">
        <f t="shared" si="2"/>
        <v>431356.75065446313</v>
      </c>
      <c r="F54" s="25">
        <f t="shared" si="3"/>
        <v>575142.33420595084</v>
      </c>
      <c r="G54" s="25">
        <f t="shared" si="4"/>
        <v>862713.50130892626</v>
      </c>
      <c r="H54" s="25">
        <f>100000000*('State by State Data'!R57/SUM('State by State Data'!R$16:R$66))</f>
        <v>315640.81817067054</v>
      </c>
      <c r="I54" s="1"/>
      <c r="J54" s="1"/>
      <c r="K54" s="1"/>
      <c r="L54" s="1"/>
      <c r="M54" s="1"/>
      <c r="N54" s="1"/>
      <c r="O54" s="1"/>
      <c r="P54" s="1"/>
      <c r="Q54" s="1"/>
      <c r="R54" s="1"/>
      <c r="S54" s="1"/>
      <c r="T54" s="1"/>
    </row>
    <row r="55" spans="1:20" x14ac:dyDescent="0.2">
      <c r="A55" s="6" t="s">
        <v>36</v>
      </c>
      <c r="B55" s="8" t="s">
        <v>53</v>
      </c>
      <c r="C55" s="24">
        <v>1250973249.3213465</v>
      </c>
      <c r="D55" s="25">
        <f t="shared" si="5"/>
        <v>10257980.644435043</v>
      </c>
      <c r="E55" s="25">
        <f t="shared" si="2"/>
        <v>2564495.1611087606</v>
      </c>
      <c r="F55" s="25">
        <f t="shared" si="3"/>
        <v>3419326.8814783473</v>
      </c>
      <c r="G55" s="25">
        <f t="shared" si="4"/>
        <v>5128990.3222175213</v>
      </c>
      <c r="H55" s="25">
        <f>100000000*('State by State Data'!R58/SUM('State by State Data'!R$16:R$66))</f>
        <v>2160549.3722865181</v>
      </c>
      <c r="I55" s="1"/>
      <c r="J55" s="1"/>
      <c r="K55" s="1"/>
      <c r="L55" s="1"/>
      <c r="M55" s="1"/>
      <c r="N55" s="1"/>
      <c r="O55" s="1"/>
      <c r="P55" s="1"/>
      <c r="Q55" s="1"/>
      <c r="R55" s="1"/>
      <c r="S55" s="1"/>
      <c r="T55" s="1"/>
    </row>
    <row r="56" spans="1:20" x14ac:dyDescent="0.2">
      <c r="A56" s="6" t="s">
        <v>37</v>
      </c>
      <c r="B56" s="8" t="s">
        <v>53</v>
      </c>
      <c r="C56" s="24">
        <v>5576890942.9855099</v>
      </c>
      <c r="D56" s="25">
        <f t="shared" si="5"/>
        <v>45730505.732481182</v>
      </c>
      <c r="E56" s="25">
        <f t="shared" si="2"/>
        <v>11432626.433120295</v>
      </c>
      <c r="F56" s="25">
        <f t="shared" si="3"/>
        <v>15243501.910827059</v>
      </c>
      <c r="G56" s="25">
        <f t="shared" si="4"/>
        <v>22865252.866240591</v>
      </c>
      <c r="H56" s="25">
        <f>100000000*('State by State Data'!R59/SUM('State by State Data'!R$16:R$66))</f>
        <v>15616723.105260503</v>
      </c>
      <c r="I56" s="1"/>
      <c r="J56" s="1"/>
      <c r="K56" s="1"/>
      <c r="L56" s="1"/>
      <c r="M56" s="1"/>
      <c r="N56" s="1"/>
      <c r="O56" s="1"/>
      <c r="P56" s="1"/>
      <c r="Q56" s="1"/>
      <c r="R56" s="1"/>
      <c r="S56" s="1"/>
      <c r="T56" s="1"/>
    </row>
    <row r="57" spans="1:20" x14ac:dyDescent="0.2">
      <c r="A57" s="6" t="s">
        <v>38</v>
      </c>
      <c r="B57" s="8" t="s">
        <v>53</v>
      </c>
      <c r="C57" s="24">
        <v>931822765.31535625</v>
      </c>
      <c r="D57" s="25">
        <f t="shared" si="5"/>
        <v>7640946.6755859219</v>
      </c>
      <c r="E57" s="25">
        <f t="shared" si="2"/>
        <v>1910236.6688964805</v>
      </c>
      <c r="F57" s="25">
        <f t="shared" si="3"/>
        <v>2546982.2251953073</v>
      </c>
      <c r="G57" s="25">
        <f t="shared" si="4"/>
        <v>3820473.3377929609</v>
      </c>
      <c r="H57" s="25">
        <f>100000000*('State by State Data'!R60/SUM('State by State Data'!R$16:R$66))</f>
        <v>922977.65264680504</v>
      </c>
      <c r="I57" s="1"/>
      <c r="J57" s="1"/>
      <c r="K57" s="1"/>
      <c r="L57" s="1"/>
      <c r="M57" s="1"/>
      <c r="N57" s="1"/>
      <c r="O57" s="1"/>
      <c r="P57" s="1"/>
      <c r="Q57" s="1"/>
      <c r="R57" s="1"/>
      <c r="S57" s="1"/>
      <c r="T57" s="1"/>
    </row>
    <row r="58" spans="1:20" x14ac:dyDescent="0.2">
      <c r="A58" s="6" t="s">
        <v>39</v>
      </c>
      <c r="B58" s="8" t="s">
        <v>55</v>
      </c>
      <c r="C58" s="21" t="s">
        <v>80</v>
      </c>
      <c r="D58" s="22" t="s">
        <v>80</v>
      </c>
      <c r="E58" s="22" t="s">
        <v>80</v>
      </c>
      <c r="F58" s="21" t="s">
        <v>80</v>
      </c>
      <c r="G58" s="22" t="s">
        <v>80</v>
      </c>
      <c r="H58" s="25">
        <f>100000000*('State by State Data'!R61/SUM('State by State Data'!R$16:R$66))</f>
        <v>111834.75900586638</v>
      </c>
      <c r="I58" s="1"/>
      <c r="J58" s="1"/>
      <c r="K58" s="1"/>
      <c r="L58" s="1"/>
      <c r="M58" s="1"/>
      <c r="N58" s="1"/>
      <c r="O58" s="1"/>
      <c r="P58" s="1"/>
      <c r="Q58" s="1"/>
      <c r="R58" s="1"/>
      <c r="S58" s="1"/>
      <c r="T58" s="1"/>
    </row>
    <row r="59" spans="1:20" x14ac:dyDescent="0.2">
      <c r="A59" s="6" t="s">
        <v>40</v>
      </c>
      <c r="B59" s="8" t="s">
        <v>54</v>
      </c>
      <c r="C59" s="24">
        <v>1870628840.8712857</v>
      </c>
      <c r="D59" s="25">
        <f t="shared" ref="D59:D63" si="6">C59*0.0082</f>
        <v>15339156.495144544</v>
      </c>
      <c r="E59" s="25">
        <f t="shared" si="2"/>
        <v>3834789.123786136</v>
      </c>
      <c r="F59" s="25">
        <f t="shared" si="3"/>
        <v>5113052.1650481811</v>
      </c>
      <c r="G59" s="25">
        <f t="shared" si="4"/>
        <v>7669578.2475722721</v>
      </c>
      <c r="H59" s="25">
        <f>100000000*('State by State Data'!R62/SUM('State by State Data'!R$16:R$66))</f>
        <v>1840133.7117578138</v>
      </c>
      <c r="I59" s="1"/>
      <c r="J59" s="1"/>
      <c r="K59" s="1"/>
      <c r="L59" s="1"/>
      <c r="M59" s="1"/>
      <c r="N59" s="1"/>
      <c r="O59" s="1"/>
      <c r="P59" s="1"/>
      <c r="Q59" s="1"/>
      <c r="R59" s="1"/>
      <c r="S59" s="1"/>
      <c r="T59" s="1"/>
    </row>
    <row r="60" spans="1:20" x14ac:dyDescent="0.2">
      <c r="A60" s="6" t="s">
        <v>52</v>
      </c>
      <c r="B60" s="8" t="s">
        <v>55</v>
      </c>
      <c r="C60" s="24">
        <v>1318546528.1027818</v>
      </c>
      <c r="D60" s="25">
        <f t="shared" si="6"/>
        <v>10812081.530442812</v>
      </c>
      <c r="E60" s="25">
        <f t="shared" si="2"/>
        <v>2703020.3826107029</v>
      </c>
      <c r="F60" s="25">
        <f t="shared" si="3"/>
        <v>3604027.1768142702</v>
      </c>
      <c r="G60" s="25">
        <f t="shared" si="4"/>
        <v>5406040.7652214058</v>
      </c>
      <c r="H60" s="25">
        <f>100000000*('State by State Data'!R63/SUM('State by State Data'!R$16:R$66))</f>
        <v>1882576.7985736458</v>
      </c>
      <c r="I60" s="1"/>
      <c r="J60" s="1"/>
      <c r="K60" s="1"/>
      <c r="L60" s="1"/>
      <c r="M60" s="1"/>
      <c r="N60" s="1"/>
      <c r="O60" s="1"/>
      <c r="P60" s="1"/>
      <c r="Q60" s="1"/>
      <c r="R60" s="1"/>
      <c r="S60" s="1"/>
      <c r="T60" s="1"/>
    </row>
    <row r="61" spans="1:20" x14ac:dyDescent="0.2">
      <c r="A61" s="6" t="s">
        <v>41</v>
      </c>
      <c r="B61" s="8" t="s">
        <v>53</v>
      </c>
      <c r="C61" s="24">
        <v>205993266.94104919</v>
      </c>
      <c r="D61" s="25">
        <f t="shared" si="6"/>
        <v>1689144.7889166034</v>
      </c>
      <c r="E61" s="25">
        <f t="shared" si="2"/>
        <v>422286.19722915086</v>
      </c>
      <c r="F61" s="25">
        <f t="shared" si="3"/>
        <v>563048.2629722011</v>
      </c>
      <c r="G61" s="25">
        <f t="shared" si="4"/>
        <v>844572.39445830171</v>
      </c>
      <c r="H61" s="25">
        <f>100000000*('State by State Data'!R64/SUM('State by State Data'!R$16:R$66))</f>
        <v>371792.26401294378</v>
      </c>
      <c r="I61" s="1"/>
      <c r="J61" s="1"/>
      <c r="K61" s="1"/>
      <c r="L61" s="1"/>
      <c r="M61" s="1"/>
      <c r="N61" s="1"/>
      <c r="O61" s="1"/>
      <c r="P61" s="1"/>
      <c r="Q61" s="1"/>
      <c r="R61" s="1"/>
      <c r="S61" s="1"/>
      <c r="T61" s="1"/>
    </row>
    <row r="62" spans="1:20" x14ac:dyDescent="0.2">
      <c r="A62" s="6" t="s">
        <v>42</v>
      </c>
      <c r="B62" s="8" t="s">
        <v>53</v>
      </c>
      <c r="C62" s="24">
        <v>1410029314.3941154</v>
      </c>
      <c r="D62" s="25">
        <f t="shared" si="6"/>
        <v>11562240.378031747</v>
      </c>
      <c r="E62" s="25">
        <f t="shared" si="2"/>
        <v>2890560.0945079369</v>
      </c>
      <c r="F62" s="25">
        <f t="shared" si="3"/>
        <v>3854080.1260105823</v>
      </c>
      <c r="G62" s="25">
        <f t="shared" si="4"/>
        <v>5781120.1890158737</v>
      </c>
      <c r="H62" s="25">
        <f>100000000*('State by State Data'!R65/SUM('State by State Data'!R$16:R$66))</f>
        <v>1299109.5720791062</v>
      </c>
      <c r="I62" s="1"/>
      <c r="J62" s="1"/>
      <c r="K62" s="1"/>
      <c r="L62" s="1"/>
      <c r="M62" s="1"/>
      <c r="N62" s="1"/>
      <c r="O62" s="1"/>
      <c r="P62" s="1"/>
      <c r="Q62" s="1"/>
      <c r="R62" s="1"/>
      <c r="S62" s="1"/>
      <c r="T62" s="1"/>
    </row>
    <row r="63" spans="1:20" x14ac:dyDescent="0.2">
      <c r="A63" s="6" t="s">
        <v>43</v>
      </c>
      <c r="B63" s="8" t="s">
        <v>53</v>
      </c>
      <c r="C63" s="24">
        <v>242314232.7494022</v>
      </c>
      <c r="D63" s="25">
        <f t="shared" si="6"/>
        <v>1986976.7085450981</v>
      </c>
      <c r="E63" s="25">
        <f t="shared" si="2"/>
        <v>496744.17713627452</v>
      </c>
      <c r="F63" s="25">
        <f t="shared" si="3"/>
        <v>662325.56951503269</v>
      </c>
      <c r="G63" s="25">
        <f t="shared" si="4"/>
        <v>993488.35427254904</v>
      </c>
      <c r="H63" s="25">
        <f>100000000*('State by State Data'!R66/SUM('State by State Data'!R$16:R$66))</f>
        <v>276313.26649897674</v>
      </c>
      <c r="I63" s="1"/>
      <c r="J63" s="1"/>
      <c r="K63" s="1"/>
      <c r="L63" s="1"/>
      <c r="M63" s="1"/>
      <c r="N63" s="1"/>
      <c r="O63" s="1"/>
      <c r="P63" s="1"/>
      <c r="Q63" s="1"/>
      <c r="R63" s="1"/>
      <c r="S63" s="1"/>
      <c r="T63" s="1"/>
    </row>
    <row r="64" spans="1:20" ht="15" customHeight="1" x14ac:dyDescent="0.2">
      <c r="B64" s="1"/>
      <c r="C64" s="1"/>
      <c r="D64" s="1"/>
      <c r="E64" s="1"/>
      <c r="F64" s="1"/>
      <c r="G64" s="1"/>
      <c r="H64" s="1"/>
      <c r="I64" s="1"/>
      <c r="J64" s="1"/>
      <c r="K64" s="1"/>
      <c r="L64" s="1"/>
      <c r="M64" s="1"/>
      <c r="N64" s="1"/>
      <c r="O64" s="1"/>
      <c r="P64" s="1"/>
      <c r="Q64" s="1"/>
      <c r="R64" s="1"/>
      <c r="S64" s="1"/>
      <c r="T64" s="1"/>
    </row>
    <row r="65" spans="2:20" ht="15" customHeight="1" x14ac:dyDescent="0.2">
      <c r="B65" s="1"/>
      <c r="C65" s="1"/>
      <c r="D65" s="1"/>
      <c r="E65" s="1"/>
      <c r="F65" s="1"/>
      <c r="G65" s="1"/>
      <c r="H65" s="1"/>
      <c r="I65" s="1"/>
      <c r="J65" s="1"/>
      <c r="K65" s="1"/>
      <c r="L65" s="1"/>
      <c r="M65" s="1"/>
      <c r="N65" s="1"/>
      <c r="O65" s="1"/>
      <c r="P65" s="1"/>
      <c r="Q65" s="1"/>
      <c r="R65" s="1"/>
      <c r="S65" s="1"/>
      <c r="T65" s="1"/>
    </row>
    <row r="66" spans="2:20" ht="15" customHeight="1" x14ac:dyDescent="0.2">
      <c r="B66" s="1"/>
      <c r="C66" s="1"/>
      <c r="D66" s="1"/>
      <c r="E66" s="1"/>
      <c r="F66" s="1"/>
      <c r="G66" s="1"/>
      <c r="H66" s="1"/>
      <c r="I66" s="1"/>
      <c r="J66" s="1"/>
      <c r="K66" s="1"/>
      <c r="L66" s="1"/>
      <c r="M66" s="1"/>
      <c r="N66" s="1"/>
      <c r="O66" s="1"/>
      <c r="P66" s="1"/>
      <c r="Q66" s="1"/>
      <c r="R66" s="1"/>
      <c r="S66" s="1"/>
      <c r="T66" s="1"/>
    </row>
    <row r="67" spans="2:20" ht="15" customHeight="1" x14ac:dyDescent="0.2">
      <c r="B67" s="1"/>
      <c r="C67" s="1"/>
      <c r="D67" s="1"/>
      <c r="E67" s="1"/>
      <c r="F67" s="1"/>
      <c r="G67" s="1"/>
      <c r="H67" s="1"/>
      <c r="I67" s="1"/>
      <c r="J67" s="1"/>
      <c r="K67" s="1"/>
      <c r="L67" s="1"/>
      <c r="M67" s="1"/>
      <c r="N67" s="1"/>
      <c r="O67" s="1"/>
      <c r="P67" s="1"/>
      <c r="Q67" s="1"/>
      <c r="R67" s="1"/>
      <c r="S67" s="1"/>
      <c r="T67" s="1"/>
    </row>
    <row r="68" spans="2:20" ht="15" customHeight="1" x14ac:dyDescent="0.2">
      <c r="B68" s="1"/>
      <c r="C68" s="1"/>
      <c r="D68" s="1"/>
      <c r="E68" s="1"/>
      <c r="F68" s="1"/>
      <c r="G68" s="1"/>
      <c r="H68" s="1"/>
      <c r="I68" s="1"/>
      <c r="J68" s="1"/>
      <c r="K68" s="1"/>
      <c r="L68" s="1"/>
      <c r="M68" s="1"/>
      <c r="N68" s="1"/>
      <c r="O68" s="1"/>
      <c r="P68" s="1"/>
      <c r="Q68" s="1"/>
      <c r="R68" s="1"/>
      <c r="S68" s="1"/>
      <c r="T68" s="1"/>
    </row>
    <row r="69" spans="2:20" ht="15" customHeight="1" x14ac:dyDescent="0.2">
      <c r="B69" s="1"/>
      <c r="C69" s="1"/>
      <c r="D69" s="1"/>
      <c r="E69" s="1"/>
      <c r="F69" s="1"/>
      <c r="G69" s="1"/>
      <c r="H69" s="1"/>
      <c r="I69" s="1"/>
      <c r="J69" s="1"/>
      <c r="K69" s="1"/>
      <c r="L69" s="1"/>
      <c r="M69" s="1"/>
      <c r="N69" s="1"/>
      <c r="O69" s="1"/>
      <c r="P69" s="1"/>
      <c r="Q69" s="1"/>
      <c r="R69" s="1"/>
      <c r="S69" s="1"/>
      <c r="T69" s="1"/>
    </row>
    <row r="70" spans="2:20" ht="15" customHeight="1" x14ac:dyDescent="0.2">
      <c r="B70" s="1"/>
      <c r="C70" s="1"/>
      <c r="D70" s="1"/>
      <c r="E70" s="1"/>
      <c r="F70" s="1"/>
      <c r="G70" s="1"/>
      <c r="H70" s="1"/>
      <c r="I70" s="1"/>
      <c r="J70" s="1"/>
      <c r="K70" s="1"/>
      <c r="L70" s="1"/>
      <c r="M70" s="1"/>
      <c r="N70" s="1"/>
      <c r="O70" s="1"/>
      <c r="P70" s="1"/>
      <c r="Q70" s="1"/>
      <c r="R70" s="1"/>
      <c r="S70" s="1"/>
      <c r="T70" s="1"/>
    </row>
    <row r="71" spans="2:20" x14ac:dyDescent="0.2">
      <c r="B71" s="1"/>
      <c r="C71" s="1"/>
      <c r="D71" s="1"/>
      <c r="E71" s="1"/>
      <c r="F71" s="1"/>
      <c r="G71" s="1"/>
      <c r="H71" s="1"/>
      <c r="I71" s="1"/>
      <c r="J71" s="1"/>
      <c r="K71" s="1"/>
      <c r="L71" s="1"/>
      <c r="M71" s="1"/>
      <c r="N71" s="1"/>
      <c r="O71" s="1"/>
      <c r="P71" s="1"/>
      <c r="Q71" s="1"/>
      <c r="R71" s="1"/>
      <c r="S71" s="1"/>
      <c r="T71" s="1"/>
    </row>
    <row r="72" spans="2:20" x14ac:dyDescent="0.2">
      <c r="B72" s="1"/>
      <c r="C72" s="1"/>
      <c r="D72" s="1"/>
      <c r="E72" s="1"/>
      <c r="F72" s="1"/>
      <c r="G72" s="1"/>
      <c r="H72" s="1"/>
      <c r="I72" s="1"/>
      <c r="J72" s="1"/>
      <c r="K72" s="1"/>
      <c r="L72" s="1"/>
      <c r="M72" s="1"/>
      <c r="N72" s="1"/>
      <c r="O72" s="1"/>
      <c r="P72" s="1"/>
      <c r="Q72" s="1"/>
      <c r="R72" s="1"/>
      <c r="S72" s="1"/>
      <c r="T72" s="1"/>
    </row>
    <row r="73" spans="2:20" x14ac:dyDescent="0.2">
      <c r="B73" s="1"/>
      <c r="C73" s="1"/>
      <c r="D73" s="1"/>
      <c r="E73" s="1"/>
      <c r="F73" s="1"/>
      <c r="G73" s="1"/>
      <c r="H73" s="1"/>
      <c r="I73" s="1"/>
      <c r="J73" s="1"/>
      <c r="K73" s="1"/>
      <c r="L73" s="1"/>
      <c r="M73" s="1"/>
      <c r="N73" s="1"/>
      <c r="O73" s="1"/>
      <c r="P73" s="1"/>
      <c r="Q73" s="1"/>
      <c r="R73" s="1"/>
      <c r="S73" s="1"/>
      <c r="T73" s="1"/>
    </row>
    <row r="74" spans="2:20" x14ac:dyDescent="0.2">
      <c r="B74" s="1"/>
      <c r="C74" s="1"/>
      <c r="D74" s="1"/>
      <c r="E74" s="1"/>
      <c r="F74" s="1"/>
      <c r="G74" s="1"/>
      <c r="H74" s="1"/>
      <c r="I74" s="1"/>
      <c r="J74" s="1"/>
      <c r="K74" s="1"/>
      <c r="L74" s="1"/>
      <c r="M74" s="1"/>
      <c r="N74" s="1"/>
      <c r="O74" s="1"/>
      <c r="P74" s="1"/>
      <c r="Q74" s="1"/>
      <c r="R74" s="1"/>
      <c r="S74" s="1"/>
      <c r="T74" s="1"/>
    </row>
    <row r="75" spans="2:20" ht="27.6" customHeight="1" x14ac:dyDescent="0.2">
      <c r="B75" s="1"/>
      <c r="C75" s="1"/>
      <c r="D75" s="1"/>
      <c r="E75" s="1"/>
      <c r="F75" s="1"/>
      <c r="G75" s="1"/>
      <c r="H75" s="1"/>
      <c r="I75" s="1"/>
      <c r="J75" s="1"/>
      <c r="K75" s="1"/>
      <c r="L75" s="1"/>
      <c r="M75" s="1"/>
      <c r="N75" s="1"/>
      <c r="O75" s="1"/>
      <c r="P75" s="1"/>
      <c r="Q75" s="1"/>
      <c r="R75" s="1"/>
      <c r="S75" s="1"/>
      <c r="T75" s="1"/>
    </row>
    <row r="76" spans="2:20" ht="27.6" customHeight="1" x14ac:dyDescent="0.2">
      <c r="B76" s="1"/>
      <c r="C76" s="1"/>
      <c r="D76" s="1"/>
      <c r="E76" s="1"/>
      <c r="F76" s="1"/>
      <c r="G76" s="1"/>
      <c r="H76" s="1"/>
      <c r="I76" s="1"/>
      <c r="J76" s="1"/>
      <c r="K76" s="1"/>
      <c r="L76" s="1"/>
      <c r="M76" s="1"/>
      <c r="N76" s="1"/>
      <c r="O76" s="1"/>
      <c r="P76" s="1"/>
      <c r="Q76" s="1"/>
      <c r="R76" s="1"/>
      <c r="S76" s="1"/>
      <c r="T76" s="1"/>
    </row>
    <row r="77" spans="2:20" x14ac:dyDescent="0.2">
      <c r="B77" s="1"/>
      <c r="C77" s="1"/>
      <c r="D77" s="1"/>
      <c r="E77" s="1"/>
      <c r="F77" s="1"/>
      <c r="G77" s="1"/>
      <c r="H77" s="1"/>
      <c r="I77" s="1"/>
      <c r="J77" s="1"/>
      <c r="K77" s="1"/>
      <c r="L77" s="1"/>
      <c r="M77" s="1"/>
      <c r="N77" s="1"/>
      <c r="O77" s="1"/>
      <c r="P77" s="1"/>
      <c r="Q77" s="1"/>
      <c r="R77" s="1"/>
      <c r="S77" s="1"/>
      <c r="T77" s="1"/>
    </row>
    <row r="78" spans="2:20" ht="27" customHeight="1" x14ac:dyDescent="0.2">
      <c r="B78" s="1"/>
      <c r="C78" s="1"/>
      <c r="D78" s="1"/>
      <c r="E78" s="1"/>
      <c r="F78" s="1"/>
      <c r="G78" s="1"/>
      <c r="H78" s="1"/>
      <c r="I78" s="1"/>
      <c r="J78" s="1"/>
      <c r="K78" s="1"/>
      <c r="L78" s="1"/>
      <c r="M78" s="1"/>
      <c r="N78" s="1"/>
      <c r="O78" s="1"/>
      <c r="P78" s="1"/>
      <c r="Q78" s="1"/>
      <c r="R78" s="1"/>
      <c r="S78" s="1"/>
      <c r="T78" s="1"/>
    </row>
    <row r="79" spans="2:20" x14ac:dyDescent="0.2">
      <c r="B79" s="1"/>
      <c r="C79" s="1"/>
      <c r="D79" s="1"/>
      <c r="E79" s="1"/>
      <c r="F79" s="1"/>
      <c r="G79" s="1"/>
      <c r="H79" s="1"/>
      <c r="I79" s="1"/>
      <c r="J79" s="1"/>
      <c r="K79" s="1"/>
      <c r="L79" s="1"/>
      <c r="M79" s="1"/>
      <c r="N79" s="1"/>
      <c r="O79" s="1"/>
      <c r="P79" s="1"/>
      <c r="Q79" s="1"/>
      <c r="R79" s="1"/>
      <c r="S79" s="1"/>
      <c r="T79" s="1"/>
    </row>
    <row r="80" spans="2:20" x14ac:dyDescent="0.2">
      <c r="B80" s="1"/>
      <c r="C80" s="1"/>
      <c r="D80" s="1"/>
      <c r="E80" s="1"/>
      <c r="F80" s="1"/>
      <c r="G80" s="1"/>
      <c r="H80" s="1"/>
      <c r="I80" s="1"/>
      <c r="J80" s="1"/>
      <c r="K80" s="1"/>
      <c r="L80" s="1"/>
      <c r="M80" s="1"/>
      <c r="N80" s="1"/>
      <c r="O80" s="1"/>
      <c r="P80" s="1"/>
      <c r="Q80" s="1"/>
      <c r="R80" s="1"/>
      <c r="S80" s="1"/>
      <c r="T80" s="1"/>
    </row>
    <row r="81" spans="1:22" x14ac:dyDescent="0.2">
      <c r="B81" s="1"/>
      <c r="C81" s="1"/>
      <c r="D81" s="1"/>
      <c r="E81" s="1"/>
      <c r="F81" s="1"/>
      <c r="G81" s="1"/>
      <c r="H81" s="1"/>
      <c r="I81" s="1"/>
      <c r="J81" s="1"/>
      <c r="K81" s="1"/>
      <c r="L81" s="1"/>
      <c r="M81" s="1"/>
      <c r="N81" s="1"/>
      <c r="O81" s="1"/>
      <c r="P81" s="1"/>
      <c r="Q81" s="1"/>
      <c r="R81" s="1"/>
      <c r="S81" s="1"/>
      <c r="T81" s="1"/>
    </row>
    <row r="82" spans="1:22" x14ac:dyDescent="0.2">
      <c r="B82" s="1"/>
      <c r="C82" s="1"/>
      <c r="D82" s="1"/>
      <c r="E82" s="1"/>
      <c r="F82" s="1"/>
      <c r="G82" s="1"/>
      <c r="H82" s="1"/>
      <c r="I82" s="1"/>
      <c r="J82" s="1"/>
      <c r="K82" s="1"/>
      <c r="L82" s="1"/>
      <c r="M82" s="1"/>
      <c r="N82" s="1"/>
      <c r="O82" s="1"/>
      <c r="P82" s="1"/>
      <c r="Q82" s="1"/>
      <c r="R82" s="1"/>
      <c r="S82" s="1"/>
      <c r="T82" s="1"/>
    </row>
    <row r="83" spans="1:22" x14ac:dyDescent="0.2">
      <c r="B83" s="1"/>
      <c r="C83" s="1"/>
      <c r="D83" s="1"/>
      <c r="E83" s="1"/>
      <c r="F83" s="1"/>
      <c r="G83" s="1"/>
      <c r="H83" s="1"/>
      <c r="I83" s="1"/>
      <c r="J83" s="1"/>
      <c r="K83" s="1"/>
      <c r="L83" s="1"/>
      <c r="M83" s="1"/>
      <c r="N83" s="1"/>
      <c r="O83" s="1"/>
      <c r="P83" s="1"/>
      <c r="Q83" s="1"/>
      <c r="R83" s="1"/>
      <c r="S83" s="1"/>
      <c r="T83" s="1"/>
    </row>
    <row r="84" spans="1:22" x14ac:dyDescent="0.2">
      <c r="B84" s="1"/>
      <c r="C84" s="1"/>
      <c r="D84" s="1"/>
      <c r="E84" s="1"/>
      <c r="F84" s="1"/>
      <c r="G84" s="1"/>
      <c r="H84" s="1"/>
      <c r="I84" s="1"/>
      <c r="J84" s="1"/>
      <c r="K84" s="1"/>
      <c r="L84" s="1"/>
      <c r="M84" s="1"/>
      <c r="N84" s="1"/>
      <c r="O84" s="1"/>
      <c r="P84" s="1"/>
      <c r="Q84" s="1"/>
      <c r="R84" s="1"/>
      <c r="S84" s="1"/>
      <c r="T84" s="1"/>
    </row>
    <row r="91" spans="1:22" s="13" customFormat="1" x14ac:dyDescent="0.2">
      <c r="A91" s="1"/>
      <c r="B91" s="4"/>
      <c r="C91" s="16"/>
      <c r="U91" s="1"/>
      <c r="V91" s="1"/>
    </row>
    <row r="92" spans="1:22" s="13" customFormat="1" x14ac:dyDescent="0.2">
      <c r="A92" s="1"/>
      <c r="B92" s="4"/>
      <c r="C92" s="16"/>
      <c r="U92" s="1"/>
      <c r="V92" s="1"/>
    </row>
    <row r="93" spans="1:22" s="13" customFormat="1" x14ac:dyDescent="0.2">
      <c r="A93" s="2"/>
      <c r="B93" s="9"/>
      <c r="C93" s="17"/>
      <c r="U93" s="1"/>
      <c r="V93" s="1"/>
    </row>
    <row r="94" spans="1:22" x14ac:dyDescent="0.2">
      <c r="A94" s="5"/>
    </row>
  </sheetData>
  <pageMargins left="0.25" right="0.25" top="0.75" bottom="0.75" header="0.3" footer="0.3"/>
  <pageSetup scale="56" orientation="landscape" r:id="rId1"/>
  <rowBreaks count="1" manualBreakCount="1">
    <brk id="71" max="16383" man="1"/>
  </rowBreaks>
  <ignoredErrors>
    <ignoredError sqref="C8:H8" numberStoredAsText="1"/>
    <ignoredError sqref="D10:H63"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C635A-6D1B-44DE-9145-36D88834D6F2}">
  <sheetPr>
    <pageSetUpPr fitToPage="1"/>
  </sheetPr>
  <dimension ref="A1:T24"/>
  <sheetViews>
    <sheetView view="pageBreakPreview" zoomScale="110" zoomScaleNormal="100" zoomScaleSheetLayoutView="110" workbookViewId="0"/>
  </sheetViews>
  <sheetFormatPr defaultRowHeight="15" x14ac:dyDescent="0.25"/>
  <sheetData>
    <row r="1" spans="1:20" s="11" customFormat="1" ht="32.25" customHeight="1" x14ac:dyDescent="0.25">
      <c r="A1" s="12" t="s">
        <v>255</v>
      </c>
      <c r="B1" s="10"/>
      <c r="C1" s="14"/>
      <c r="D1" s="14"/>
      <c r="E1" s="14"/>
      <c r="F1" s="14"/>
      <c r="G1" s="14"/>
      <c r="H1" s="14"/>
      <c r="I1" s="14"/>
      <c r="J1" s="14"/>
      <c r="K1" s="14"/>
      <c r="L1" s="14"/>
      <c r="M1" s="14"/>
      <c r="N1" s="14"/>
      <c r="O1" s="14"/>
      <c r="P1" s="14"/>
      <c r="Q1" s="14"/>
      <c r="R1" s="14"/>
      <c r="S1" s="14"/>
      <c r="T1" s="14"/>
    </row>
    <row r="2" spans="1:20" s="1" customFormat="1" ht="51" customHeight="1" x14ac:dyDescent="0.2">
      <c r="A2" s="320" t="s">
        <v>256</v>
      </c>
      <c r="B2" s="320"/>
      <c r="C2" s="320"/>
      <c r="D2" s="320"/>
      <c r="E2" s="320"/>
      <c r="F2" s="320"/>
      <c r="G2" s="320"/>
      <c r="H2" s="320"/>
      <c r="I2" s="320"/>
      <c r="J2" s="320"/>
      <c r="K2" s="320"/>
      <c r="L2" s="320"/>
      <c r="M2" s="320"/>
      <c r="N2" s="320"/>
      <c r="O2" s="320"/>
      <c r="P2" s="320"/>
      <c r="Q2" s="320"/>
      <c r="R2" s="320"/>
      <c r="S2" s="320"/>
      <c r="T2" s="320"/>
    </row>
    <row r="3" spans="1:20" s="1" customFormat="1" ht="56.25" customHeight="1" x14ac:dyDescent="0.2">
      <c r="A3" s="321" t="s">
        <v>234</v>
      </c>
      <c r="B3" s="321"/>
      <c r="C3" s="321"/>
      <c r="D3" s="321"/>
      <c r="E3" s="321"/>
      <c r="F3" s="321"/>
      <c r="G3" s="321"/>
      <c r="H3" s="321"/>
      <c r="I3" s="321"/>
      <c r="J3" s="321"/>
      <c r="K3" s="321"/>
      <c r="L3" s="321"/>
      <c r="M3" s="321"/>
      <c r="N3" s="321"/>
      <c r="O3" s="321"/>
      <c r="P3" s="321"/>
      <c r="Q3" s="321"/>
      <c r="R3" s="321"/>
      <c r="S3" s="321"/>
      <c r="T3" s="321"/>
    </row>
    <row r="4" spans="1:20" s="1" customFormat="1" ht="26.45" customHeight="1" x14ac:dyDescent="0.2">
      <c r="A4" s="321" t="s">
        <v>206</v>
      </c>
      <c r="B4" s="321"/>
      <c r="C4" s="321"/>
      <c r="D4" s="321"/>
      <c r="E4" s="321"/>
      <c r="F4" s="321"/>
      <c r="G4" s="321"/>
      <c r="H4" s="321"/>
      <c r="I4" s="321"/>
      <c r="J4" s="321"/>
      <c r="K4" s="321"/>
      <c r="L4" s="321"/>
      <c r="M4" s="321"/>
      <c r="N4" s="321"/>
      <c r="O4" s="321"/>
      <c r="P4" s="321"/>
      <c r="Q4" s="321"/>
      <c r="R4" s="321"/>
      <c r="S4" s="321"/>
      <c r="T4" s="321"/>
    </row>
    <row r="5" spans="1:20" s="1" customFormat="1" ht="26.45" customHeight="1" x14ac:dyDescent="0.2">
      <c r="A5" s="321" t="s">
        <v>207</v>
      </c>
      <c r="B5" s="321"/>
      <c r="C5" s="321"/>
      <c r="D5" s="321"/>
      <c r="E5" s="321"/>
      <c r="F5" s="321"/>
      <c r="G5" s="321"/>
      <c r="H5" s="321"/>
      <c r="I5" s="321"/>
      <c r="J5" s="321"/>
      <c r="K5" s="321"/>
      <c r="L5" s="321"/>
      <c r="M5" s="321"/>
      <c r="N5" s="321"/>
      <c r="O5" s="321"/>
      <c r="P5" s="321"/>
      <c r="Q5" s="321"/>
      <c r="R5" s="321"/>
      <c r="S5" s="321"/>
      <c r="T5" s="321"/>
    </row>
    <row r="6" spans="1:20" x14ac:dyDescent="0.25">
      <c r="A6" s="135"/>
      <c r="B6" s="135"/>
      <c r="C6" s="135"/>
      <c r="D6" s="135"/>
      <c r="E6" s="135"/>
      <c r="F6" s="135"/>
      <c r="G6" s="135"/>
      <c r="H6" s="135"/>
      <c r="I6" s="135"/>
      <c r="J6" s="135"/>
      <c r="K6" s="135"/>
      <c r="L6" s="135"/>
      <c r="M6" s="135"/>
      <c r="N6" s="135"/>
      <c r="O6" s="135"/>
      <c r="P6" s="135"/>
      <c r="Q6" s="135"/>
      <c r="R6" s="135"/>
      <c r="S6" s="135"/>
      <c r="T6" s="135"/>
    </row>
    <row r="7" spans="1:20" x14ac:dyDescent="0.25">
      <c r="A7" s="136" t="s">
        <v>97</v>
      </c>
      <c r="B7" s="135"/>
      <c r="C7" s="135"/>
      <c r="D7" s="135"/>
      <c r="E7" s="135"/>
      <c r="F7" s="135"/>
      <c r="G7" s="135"/>
      <c r="H7" s="135"/>
      <c r="I7" s="135"/>
      <c r="J7" s="135"/>
      <c r="K7" s="135"/>
      <c r="L7" s="135"/>
      <c r="M7" s="135"/>
      <c r="N7" s="135"/>
      <c r="O7" s="135"/>
      <c r="P7" s="135"/>
      <c r="Q7" s="135"/>
      <c r="R7" s="135"/>
      <c r="S7" s="135"/>
      <c r="T7" s="135"/>
    </row>
    <row r="8" spans="1:20" ht="28.15" customHeight="1" x14ac:dyDescent="0.25">
      <c r="A8" s="322" t="s">
        <v>83</v>
      </c>
      <c r="B8" s="322"/>
      <c r="C8" s="322"/>
      <c r="D8" s="322"/>
      <c r="E8" s="322"/>
      <c r="F8" s="322"/>
      <c r="G8" s="322"/>
      <c r="H8" s="322"/>
      <c r="I8" s="322"/>
      <c r="J8" s="322"/>
      <c r="K8" s="322"/>
      <c r="L8" s="322"/>
      <c r="M8" s="322"/>
      <c r="N8" s="322"/>
      <c r="O8" s="322"/>
      <c r="P8" s="322"/>
      <c r="Q8" s="322"/>
      <c r="R8" s="322"/>
      <c r="S8" s="322"/>
      <c r="T8" s="322"/>
    </row>
    <row r="9" spans="1:20" x14ac:dyDescent="0.25">
      <c r="A9" s="323" t="s">
        <v>84</v>
      </c>
      <c r="B9" s="323"/>
      <c r="C9" s="323"/>
      <c r="D9" s="323"/>
      <c r="E9" s="323"/>
      <c r="F9" s="323"/>
      <c r="G9" s="323"/>
      <c r="H9" s="323"/>
      <c r="I9" s="323"/>
      <c r="J9" s="323"/>
      <c r="K9" s="323"/>
      <c r="L9" s="323"/>
      <c r="M9" s="323"/>
      <c r="N9" s="323"/>
      <c r="O9" s="323"/>
      <c r="P9" s="323"/>
      <c r="Q9" s="323"/>
      <c r="R9" s="323"/>
      <c r="S9" s="323"/>
      <c r="T9" s="323"/>
    </row>
    <row r="10" spans="1:20" ht="45.75" customHeight="1" x14ac:dyDescent="0.25">
      <c r="A10" s="322" t="s">
        <v>251</v>
      </c>
      <c r="B10" s="322"/>
      <c r="C10" s="322"/>
      <c r="D10" s="322"/>
      <c r="E10" s="322"/>
      <c r="F10" s="322"/>
      <c r="G10" s="322"/>
      <c r="H10" s="322"/>
      <c r="I10" s="322"/>
      <c r="J10" s="322"/>
      <c r="K10" s="322"/>
      <c r="L10" s="322"/>
      <c r="M10" s="322"/>
      <c r="N10" s="322"/>
      <c r="O10" s="322"/>
      <c r="P10" s="322"/>
      <c r="Q10" s="322"/>
      <c r="R10" s="322"/>
      <c r="S10" s="322"/>
      <c r="T10" s="322"/>
    </row>
    <row r="11" spans="1:20" ht="28.15" customHeight="1" x14ac:dyDescent="0.25">
      <c r="A11" s="322" t="s">
        <v>85</v>
      </c>
      <c r="B11" s="322"/>
      <c r="C11" s="322"/>
      <c r="D11" s="322"/>
      <c r="E11" s="322"/>
      <c r="F11" s="322"/>
      <c r="G11" s="322"/>
      <c r="H11" s="322"/>
      <c r="I11" s="322"/>
      <c r="J11" s="322"/>
      <c r="K11" s="322"/>
      <c r="L11" s="322"/>
      <c r="M11" s="322"/>
      <c r="N11" s="322"/>
      <c r="O11" s="322"/>
      <c r="P11" s="322"/>
      <c r="Q11" s="322"/>
      <c r="R11" s="322"/>
      <c r="S11" s="322"/>
      <c r="T11" s="322"/>
    </row>
    <row r="12" spans="1:20" ht="28.15" customHeight="1" x14ac:dyDescent="0.25">
      <c r="A12" s="322" t="s">
        <v>249</v>
      </c>
      <c r="B12" s="322"/>
      <c r="C12" s="322"/>
      <c r="D12" s="322"/>
      <c r="E12" s="322"/>
      <c r="F12" s="322"/>
      <c r="G12" s="322"/>
      <c r="H12" s="322"/>
      <c r="I12" s="322"/>
      <c r="J12" s="322"/>
      <c r="K12" s="322"/>
      <c r="L12" s="322"/>
      <c r="M12" s="322"/>
      <c r="N12" s="322"/>
      <c r="O12" s="322"/>
      <c r="P12" s="322"/>
      <c r="Q12" s="322"/>
      <c r="R12" s="322"/>
      <c r="S12" s="322"/>
      <c r="T12" s="322"/>
    </row>
    <row r="13" spans="1:20" ht="15.6" customHeight="1" x14ac:dyDescent="0.25">
      <c r="A13" s="134" t="s">
        <v>166</v>
      </c>
      <c r="B13" s="49"/>
      <c r="C13" s="49"/>
      <c r="D13" s="49"/>
      <c r="E13" s="49"/>
      <c r="F13" s="49"/>
      <c r="G13" s="49"/>
      <c r="H13" s="49"/>
      <c r="I13" s="49"/>
      <c r="J13" s="49"/>
      <c r="K13" s="49"/>
      <c r="L13" s="49"/>
      <c r="M13" s="49"/>
      <c r="N13" s="49"/>
      <c r="O13" s="49"/>
      <c r="P13" s="49"/>
      <c r="Q13" s="49"/>
      <c r="R13" s="49"/>
      <c r="S13" s="50"/>
      <c r="T13" s="50"/>
    </row>
    <row r="14" spans="1:20" x14ac:dyDescent="0.25">
      <c r="A14" s="134" t="s">
        <v>167</v>
      </c>
      <c r="B14" s="49"/>
      <c r="C14" s="49"/>
      <c r="D14" s="49"/>
      <c r="E14" s="49"/>
      <c r="F14" s="49"/>
      <c r="G14" s="49"/>
      <c r="H14" s="49"/>
      <c r="I14" s="49"/>
      <c r="J14" s="49"/>
      <c r="K14" s="49"/>
      <c r="L14" s="49"/>
      <c r="M14" s="49"/>
      <c r="N14" s="49"/>
      <c r="O14" s="49"/>
      <c r="P14" s="49"/>
      <c r="Q14" s="49"/>
      <c r="R14" s="49"/>
      <c r="S14" s="50"/>
      <c r="T14" s="50"/>
    </row>
    <row r="15" spans="1:20" x14ac:dyDescent="0.25">
      <c r="A15" s="134" t="s">
        <v>168</v>
      </c>
      <c r="B15" s="49"/>
      <c r="C15" s="49"/>
      <c r="D15" s="49"/>
      <c r="E15" s="49"/>
      <c r="F15" s="49"/>
      <c r="G15" s="49"/>
      <c r="H15" s="49"/>
      <c r="I15" s="49"/>
      <c r="J15" s="49"/>
      <c r="K15" s="49"/>
      <c r="L15" s="49"/>
      <c r="M15" s="49"/>
      <c r="N15" s="49"/>
      <c r="O15" s="49"/>
      <c r="P15" s="49"/>
      <c r="Q15" s="49"/>
      <c r="R15" s="49"/>
      <c r="S15" s="50"/>
      <c r="T15" s="50"/>
    </row>
    <row r="16" spans="1:20" ht="29.45" customHeight="1" x14ac:dyDescent="0.25">
      <c r="A16" s="322" t="s">
        <v>195</v>
      </c>
      <c r="B16" s="322"/>
      <c r="C16" s="322"/>
      <c r="D16" s="322"/>
      <c r="E16" s="322"/>
      <c r="F16" s="322"/>
      <c r="G16" s="322"/>
      <c r="H16" s="322"/>
      <c r="I16" s="322"/>
      <c r="J16" s="322"/>
      <c r="K16" s="322"/>
      <c r="L16" s="322"/>
      <c r="M16" s="322"/>
      <c r="N16" s="322"/>
      <c r="O16" s="322"/>
      <c r="P16" s="322"/>
      <c r="Q16" s="322"/>
      <c r="R16" s="322"/>
      <c r="S16" s="322"/>
      <c r="T16" s="322"/>
    </row>
    <row r="17" spans="1:20" x14ac:dyDescent="0.25">
      <c r="A17" s="324" t="s">
        <v>221</v>
      </c>
      <c r="B17" s="324"/>
      <c r="C17" s="324"/>
      <c r="D17" s="324"/>
      <c r="E17" s="324"/>
      <c r="F17" s="324"/>
      <c r="G17" s="324"/>
      <c r="H17" s="324"/>
      <c r="I17" s="324"/>
      <c r="J17" s="324"/>
      <c r="K17" s="324"/>
      <c r="L17" s="324"/>
      <c r="M17" s="324"/>
      <c r="N17" s="324"/>
      <c r="O17" s="324"/>
      <c r="P17" s="324"/>
      <c r="Q17" s="324"/>
      <c r="R17" s="324"/>
      <c r="S17" s="324"/>
      <c r="T17" s="324"/>
    </row>
    <row r="18" spans="1:20" ht="45.75" customHeight="1" x14ac:dyDescent="0.25">
      <c r="A18" s="324" t="s">
        <v>222</v>
      </c>
      <c r="B18" s="324"/>
      <c r="C18" s="324"/>
      <c r="D18" s="324"/>
      <c r="E18" s="324"/>
      <c r="F18" s="324"/>
      <c r="G18" s="324"/>
      <c r="H18" s="324"/>
      <c r="I18" s="324"/>
      <c r="J18" s="324"/>
      <c r="K18" s="324"/>
      <c r="L18" s="324"/>
      <c r="M18" s="324"/>
      <c r="N18" s="324"/>
      <c r="O18" s="324"/>
      <c r="P18" s="324"/>
      <c r="Q18" s="324"/>
      <c r="R18" s="324"/>
      <c r="S18" s="324"/>
      <c r="T18" s="324"/>
    </row>
    <row r="19" spans="1:20" x14ac:dyDescent="0.25">
      <c r="A19" s="324" t="s">
        <v>196</v>
      </c>
      <c r="B19" s="324"/>
      <c r="C19" s="324"/>
      <c r="D19" s="324"/>
      <c r="E19" s="324"/>
      <c r="F19" s="324"/>
      <c r="G19" s="324"/>
      <c r="H19" s="324"/>
      <c r="I19" s="324"/>
      <c r="J19" s="324"/>
      <c r="K19" s="324"/>
      <c r="L19" s="324"/>
      <c r="M19" s="324"/>
      <c r="N19" s="324"/>
      <c r="O19" s="324"/>
      <c r="P19" s="324"/>
      <c r="Q19" s="324"/>
      <c r="R19" s="324"/>
      <c r="S19" s="324"/>
      <c r="T19" s="324"/>
    </row>
    <row r="20" spans="1:20" ht="29.45" customHeight="1" x14ac:dyDescent="0.25">
      <c r="A20" s="322" t="s">
        <v>194</v>
      </c>
      <c r="B20" s="322"/>
      <c r="C20" s="322"/>
      <c r="D20" s="322"/>
      <c r="E20" s="322"/>
      <c r="F20" s="322"/>
      <c r="G20" s="322"/>
      <c r="H20" s="322"/>
      <c r="I20" s="322"/>
      <c r="J20" s="322"/>
      <c r="K20" s="322"/>
      <c r="L20" s="322"/>
      <c r="M20" s="322"/>
      <c r="N20" s="322"/>
      <c r="O20" s="322"/>
      <c r="P20" s="322"/>
      <c r="Q20" s="322"/>
      <c r="R20" s="322"/>
      <c r="S20" s="322"/>
      <c r="T20" s="322"/>
    </row>
    <row r="21" spans="1:20" ht="15.6" customHeight="1" x14ac:dyDescent="0.25">
      <c r="A21" s="134" t="s">
        <v>193</v>
      </c>
      <c r="B21" s="49"/>
      <c r="C21" s="49"/>
      <c r="D21" s="49"/>
      <c r="E21" s="49"/>
      <c r="F21" s="49"/>
      <c r="G21" s="49"/>
      <c r="H21" s="49"/>
      <c r="I21" s="49"/>
      <c r="J21" s="49"/>
      <c r="K21" s="49"/>
      <c r="L21" s="49"/>
      <c r="M21" s="49"/>
      <c r="N21" s="49"/>
      <c r="O21" s="49"/>
      <c r="P21" s="49"/>
      <c r="Q21" s="49"/>
      <c r="R21" s="49"/>
      <c r="S21" s="50"/>
      <c r="T21" s="50"/>
    </row>
    <row r="22" spans="1:20" ht="28.15" customHeight="1" x14ac:dyDescent="0.25">
      <c r="A22" s="322" t="s">
        <v>190</v>
      </c>
      <c r="B22" s="322"/>
      <c r="C22" s="322"/>
      <c r="D22" s="322"/>
      <c r="E22" s="322"/>
      <c r="F22" s="322"/>
      <c r="G22" s="322"/>
      <c r="H22" s="322"/>
      <c r="I22" s="322"/>
      <c r="J22" s="322"/>
      <c r="K22" s="322"/>
      <c r="L22" s="322"/>
      <c r="M22" s="322"/>
      <c r="N22" s="322"/>
      <c r="O22" s="322"/>
      <c r="P22" s="322"/>
      <c r="Q22" s="322"/>
      <c r="R22" s="322"/>
      <c r="S22" s="322"/>
      <c r="T22" s="322"/>
    </row>
    <row r="23" spans="1:20" x14ac:dyDescent="0.25">
      <c r="A23" s="134" t="s">
        <v>191</v>
      </c>
      <c r="B23" s="49"/>
      <c r="C23" s="49"/>
      <c r="D23" s="49"/>
      <c r="E23" s="49"/>
      <c r="F23" s="49"/>
      <c r="G23" s="49"/>
      <c r="H23" s="49"/>
      <c r="I23" s="49"/>
      <c r="J23" s="49"/>
      <c r="K23" s="49"/>
      <c r="L23" s="49"/>
      <c r="M23" s="49"/>
      <c r="N23" s="49"/>
      <c r="O23" s="49"/>
      <c r="P23" s="49"/>
      <c r="Q23" s="49"/>
      <c r="R23" s="49"/>
      <c r="S23" s="50"/>
      <c r="T23" s="50"/>
    </row>
    <row r="24" spans="1:20" x14ac:dyDescent="0.25">
      <c r="A24" s="134" t="s">
        <v>192</v>
      </c>
      <c r="B24" s="49"/>
      <c r="C24" s="49"/>
      <c r="D24" s="49"/>
      <c r="E24" s="49"/>
      <c r="F24" s="49"/>
      <c r="G24" s="49"/>
      <c r="H24" s="49"/>
      <c r="I24" s="49"/>
      <c r="J24" s="49"/>
      <c r="K24" s="49"/>
      <c r="L24" s="49"/>
      <c r="M24" s="49"/>
      <c r="N24" s="49"/>
      <c r="O24" s="49"/>
      <c r="P24" s="49"/>
      <c r="Q24" s="49"/>
      <c r="R24" s="49"/>
      <c r="S24" s="50"/>
      <c r="T24" s="50"/>
    </row>
  </sheetData>
  <mergeCells count="15">
    <mergeCell ref="A2:T2"/>
    <mergeCell ref="A3:T3"/>
    <mergeCell ref="A4:T4"/>
    <mergeCell ref="A5:T5"/>
    <mergeCell ref="A22:T22"/>
    <mergeCell ref="A20:T20"/>
    <mergeCell ref="A8:T8"/>
    <mergeCell ref="A9:T9"/>
    <mergeCell ref="A10:T10"/>
    <mergeCell ref="A11:T11"/>
    <mergeCell ref="A16:T16"/>
    <mergeCell ref="A17:T17"/>
    <mergeCell ref="A18:T18"/>
    <mergeCell ref="A19:T19"/>
    <mergeCell ref="A12:T12"/>
  </mergeCells>
  <pageMargins left="0.7" right="0.7" top="0.75" bottom="0.75" header="0.3" footer="0.3"/>
  <pageSetup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0273A2315D1440B661B35C1924B27E" ma:contentTypeVersion="13" ma:contentTypeDescription="Create a new document." ma:contentTypeScope="" ma:versionID="d085fb12e0109eeace626bd2e6de81bf">
  <xsd:schema xmlns:xsd="http://www.w3.org/2001/XMLSchema" xmlns:xs="http://www.w3.org/2001/XMLSchema" xmlns:p="http://schemas.microsoft.com/office/2006/metadata/properties" xmlns:ns3="0ce18b58-7c71-4d79-b32d-229d8cee7be8" xmlns:ns4="0906bfad-e886-4151-b3aa-0732b36647fb" targetNamespace="http://schemas.microsoft.com/office/2006/metadata/properties" ma:root="true" ma:fieldsID="85fb75d8160a1dc9232d48db73f4d3ad" ns3:_="" ns4:_="">
    <xsd:import namespace="0ce18b58-7c71-4d79-b32d-229d8cee7be8"/>
    <xsd:import namespace="0906bfad-e886-4151-b3aa-0732b36647f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e18b58-7c71-4d79-b32d-229d8cee7be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06bfad-e886-4151-b3aa-0732b36647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1E7B21-8D22-4958-896C-7363CD81128D}">
  <ds:schemaRefs>
    <ds:schemaRef ds:uri="http://schemas.microsoft.com/sharepoint/v3/contenttype/forms"/>
  </ds:schemaRefs>
</ds:datastoreItem>
</file>

<file path=customXml/itemProps2.xml><?xml version="1.0" encoding="utf-8"?>
<ds:datastoreItem xmlns:ds="http://schemas.openxmlformats.org/officeDocument/2006/customXml" ds:itemID="{A11C2E8C-7B90-4957-B6E1-E96DCF852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e18b58-7c71-4d79-b32d-229d8cee7be8"/>
    <ds:schemaRef ds:uri="0906bfad-e886-4151-b3aa-0732b36647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1D2B9-F4CE-43BD-8735-DCABD4A33726}">
  <ds:schemaRefs>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http://www.w3.org/XML/1998/namespace"/>
    <ds:schemaRef ds:uri="0ce18b58-7c71-4d79-b32d-229d8cee7be8"/>
    <ds:schemaRef ds:uri="http://schemas.microsoft.com/office/2006/documentManagement/types"/>
    <ds:schemaRef ds:uri="http://schemas.microsoft.com/office/infopath/2007/PartnerControls"/>
    <ds:schemaRef ds:uri="0906bfad-e886-4151-b3aa-0732b36647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US &amp; CA Summary</vt:lpstr>
      <vt:lpstr>Marketplace Comparison US &amp; CA</vt:lpstr>
      <vt:lpstr>Marketplace Comparison</vt:lpstr>
      <vt:lpstr>State by State Data</vt:lpstr>
      <vt:lpstr>Potential Marketing Spends</vt:lpstr>
      <vt:lpstr>Notes &amp; Sources</vt:lpstr>
      <vt:lpstr>'Marketplace Comparison'!Print_Area</vt:lpstr>
      <vt:lpstr>'Marketplace Comparison US &amp; 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Vassey, Julia (CoveredCA)</dc:creator>
  <cp:lastModifiedBy>Menashe, Isaac (CoveredCA)</cp:lastModifiedBy>
  <cp:lastPrinted>2021-03-16T04:48:41Z</cp:lastPrinted>
  <dcterms:created xsi:type="dcterms:W3CDTF">2021-03-02T19:55:53Z</dcterms:created>
  <dcterms:modified xsi:type="dcterms:W3CDTF">2021-03-16T19:35:24Z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0x010100F00273A2315D1440B661B35C1924B27E</vt:lpwstr>
  </property>
</Properties>
</file>